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225" yWindow="-270" windowWidth="11820" windowHeight="10350" tabRatio="782" activeTab="4"/>
  </bookViews>
  <sheets>
    <sheet name="Пр1" sheetId="1" r:id="rId1"/>
    <sheet name="Пр2" sheetId="2" r:id="rId2"/>
    <sheet name="Пр3" sheetId="6" r:id="rId3"/>
    <sheet name="Пр4" sheetId="57" r:id="rId4"/>
    <sheet name="Пр5" sheetId="5" r:id="rId5"/>
    <sheet name="КВСР" sheetId="8" state="hidden" r:id="rId6"/>
    <sheet name="КФСР" sheetId="7" state="hidden" r:id="rId7"/>
    <sheet name="КЦСР" sheetId="9" state="hidden" r:id="rId8"/>
    <sheet name="КВР" sheetId="10" state="hidden" r:id="rId9"/>
    <sheet name="Пр_6" sheetId="58" r:id="rId10"/>
    <sheet name="Пр 7" sheetId="13" r:id="rId11"/>
    <sheet name="Пр_8" sheetId="59" r:id="rId12"/>
    <sheet name="Пр_9" sheetId="60" r:id="rId13"/>
    <sheet name="Пр_10" sheetId="56" r:id="rId14"/>
    <sheet name="Пр_11" sheetId="53" r:id="rId15"/>
    <sheet name="Числ" sheetId="61" r:id="rId16"/>
  </sheets>
  <definedNames>
    <definedName name="_xlnm._FilterDatabase" localSheetId="5" hidden="1">КВСР!$A$2:$B$1166</definedName>
    <definedName name="_xlnm._FilterDatabase" localSheetId="6" hidden="1">КФСР!$A$1400:$B$1478</definedName>
    <definedName name="_xlnm._FilterDatabase" localSheetId="7" hidden="1">КЦСР!$A$2036:$B$3278</definedName>
    <definedName name="_xlnm._FilterDatabase" localSheetId="0" hidden="1">Пр1!$A$9:$J$153</definedName>
    <definedName name="_xlnm._FilterDatabase" localSheetId="4" hidden="1">Пр5!$A$8:$G$846</definedName>
    <definedName name="Z_66DBF0AC_E9A0_482F_9E41_1928B6CA83DC_.wvu.Cols" localSheetId="1" hidden="1">Пр2!$D:$D</definedName>
    <definedName name="Z_66DBF0AC_E9A0_482F_9E41_1928B6CA83DC_.wvu.Cols" localSheetId="2" hidden="1">Пр3!#REF!</definedName>
    <definedName name="Z_66DBF0AC_E9A0_482F_9E41_1928B6CA83DC_.wvu.FilterData" localSheetId="4" hidden="1">Пр5!$A$8:$F$803</definedName>
    <definedName name="Z_66DBF0AC_E9A0_482F_9E41_1928B6CA83DC_.wvu.Rows" localSheetId="2" hidden="1">Пр3!#REF!,Пр3!#REF!</definedName>
    <definedName name="Z_91923F83_3A6B_4204_9891_178562AB34F1_.wvu.Cols" localSheetId="1" hidden="1">Пр2!$D:$D</definedName>
    <definedName name="Z_91923F83_3A6B_4204_9891_178562AB34F1_.wvu.Cols" localSheetId="2" hidden="1">Пр3!#REF!</definedName>
    <definedName name="Z_91923F83_3A6B_4204_9891_178562AB34F1_.wvu.FilterData" localSheetId="4" hidden="1">Пр5!$A$8:$F$803</definedName>
    <definedName name="Z_91923F83_3A6B_4204_9891_178562AB34F1_.wvu.PrintArea" localSheetId="0" hidden="1">Пр1!$A$1:$I$153</definedName>
    <definedName name="Z_91923F83_3A6B_4204_9891_178562AB34F1_.wvu.PrintArea" localSheetId="1" hidden="1">Пр2!$A$1:$C$119</definedName>
    <definedName name="Z_91923F83_3A6B_4204_9891_178562AB34F1_.wvu.PrintArea" localSheetId="4" hidden="1">Пр5!$A$1:$F$803</definedName>
    <definedName name="Z_91923F83_3A6B_4204_9891_178562AB34F1_.wvu.Rows" localSheetId="1" hidden="1">Пр2!$22:$22</definedName>
    <definedName name="Z_91923F83_3A6B_4204_9891_178562AB34F1_.wvu.Rows" localSheetId="2" hidden="1">Пр3!#REF!,Пр3!#REF!</definedName>
    <definedName name="Z_A5E41FC9_89B1_40D2_B587_57BC4C5E4715_.wvu.Cols" localSheetId="1" hidden="1">Пр2!$D:$D</definedName>
    <definedName name="Z_A5E41FC9_89B1_40D2_B587_57BC4C5E4715_.wvu.Cols" localSheetId="2" hidden="1">Пр3!#REF!</definedName>
    <definedName name="Z_A5E41FC9_89B1_40D2_B587_57BC4C5E4715_.wvu.FilterData" localSheetId="4" hidden="1">Пр5!$A$8:$F$803</definedName>
    <definedName name="Z_A5E41FC9_89B1_40D2_B587_57BC4C5E4715_.wvu.PrintArea" localSheetId="0" hidden="1">Пр1!$A$1:$I$153</definedName>
    <definedName name="Z_A5E41FC9_89B1_40D2_B587_57BC4C5E4715_.wvu.PrintArea" localSheetId="1" hidden="1">Пр2!$A$1:$C$119</definedName>
    <definedName name="Z_A5E41FC9_89B1_40D2_B587_57BC4C5E4715_.wvu.PrintArea" localSheetId="4" hidden="1">Пр5!$A$1:$F$803</definedName>
    <definedName name="Z_A5E41FC9_89B1_40D2_B587_57BC4C5E4715_.wvu.Rows" localSheetId="1" hidden="1">Пр2!$22:$22</definedName>
    <definedName name="Z_A5E41FC9_89B1_40D2_B587_57BC4C5E4715_.wvu.Rows" localSheetId="2" hidden="1">Пр3!#REF!,Пр3!#REF!</definedName>
    <definedName name="Z_B3311466_F005_49F1_A579_3E6CECE305A8_.wvu.Cols" localSheetId="1" hidden="1">Пр2!$D:$D</definedName>
    <definedName name="Z_B3311466_F005_49F1_A579_3E6CECE305A8_.wvu.Cols" localSheetId="2" hidden="1">Пр3!#REF!</definedName>
    <definedName name="Z_B3311466_F005_49F1_A579_3E6CECE305A8_.wvu.FilterData" localSheetId="4" hidden="1">Пр5!$A$8:$F$803</definedName>
    <definedName name="Z_B3311466_F005_49F1_A579_3E6CECE305A8_.wvu.PrintArea" localSheetId="0" hidden="1">Пр1!$A$1:$I$153</definedName>
    <definedName name="Z_B3311466_F005_49F1_A579_3E6CECE305A8_.wvu.PrintArea" localSheetId="1" hidden="1">Пр2!$A$1:$C$119</definedName>
    <definedName name="Z_B3311466_F005_49F1_A579_3E6CECE305A8_.wvu.PrintArea" localSheetId="4" hidden="1">Пр5!$A$1:$F$803</definedName>
    <definedName name="Z_B3311466_F005_49F1_A579_3E6CECE305A8_.wvu.Rows" localSheetId="1" hidden="1">Пр2!$22:$22</definedName>
    <definedName name="Z_B3311466_F005_49F1_A579_3E6CECE305A8_.wvu.Rows" localSheetId="2" hidden="1">Пр3!#REF!,Пр3!#REF!</definedName>
    <definedName name="Z_E51CBA0A_8A1C_44BF_813B_86B1F7C678D3_.wvu.FilterData" localSheetId="4" hidden="1">Пр5!$A$8:$F$803</definedName>
    <definedName name="Z_E5662E33_D4B0_43EA_9B06_C8DA9DFDBEF6_.wvu.Cols" localSheetId="1" hidden="1">Пр2!$D:$D</definedName>
    <definedName name="Z_E5662E33_D4B0_43EA_9B06_C8DA9DFDBEF6_.wvu.Cols" localSheetId="2" hidden="1">Пр3!#REF!</definedName>
    <definedName name="Z_E5662E33_D4B0_43EA_9B06_C8DA9DFDBEF6_.wvu.FilterData" localSheetId="4" hidden="1">Пр5!$A$8:$F$803</definedName>
    <definedName name="Z_E5662E33_D4B0_43EA_9B06_C8DA9DFDBEF6_.wvu.PrintArea" localSheetId="0" hidden="1">Пр1!$A$1:$I$153</definedName>
    <definedName name="Z_E5662E33_D4B0_43EA_9B06_C8DA9DFDBEF6_.wvu.PrintArea" localSheetId="1" hidden="1">Пр2!$A$1:$C$119</definedName>
    <definedName name="Z_E5662E33_D4B0_43EA_9B06_C8DA9DFDBEF6_.wvu.PrintArea" localSheetId="2" hidden="1">Пр3!$A$1:$C$23</definedName>
    <definedName name="Z_E5662E33_D4B0_43EA_9B06_C8DA9DFDBEF6_.wvu.PrintArea" localSheetId="4" hidden="1">Пр5!$A$1:$F$803</definedName>
    <definedName name="Z_E5662E33_D4B0_43EA_9B06_C8DA9DFDBEF6_.wvu.Rows" localSheetId="1" hidden="1">Пр2!$22:$22</definedName>
    <definedName name="Z_E5662E33_D4B0_43EA_9B06_C8DA9DFDBEF6_.wvu.Rows" localSheetId="2" hidden="1">Пр3!#REF!,Пр3!#REF!</definedName>
    <definedName name="Z_F3607253_7816_4CF7_9CFD_2ADFFAD916F8_.wvu.Cols" localSheetId="1" hidden="1">Пр2!$D:$D</definedName>
    <definedName name="Z_F3607253_7816_4CF7_9CFD_2ADFFAD916F8_.wvu.Cols" localSheetId="2" hidden="1">Пр3!#REF!</definedName>
    <definedName name="Z_F3607253_7816_4CF7_9CFD_2ADFFAD916F8_.wvu.FilterData" localSheetId="4" hidden="1">Пр5!$A$8:$F$803</definedName>
    <definedName name="Z_F3607253_7816_4CF7_9CFD_2ADFFAD916F8_.wvu.PrintArea" localSheetId="0" hidden="1">Пр1!$A$1:$I$153</definedName>
    <definedName name="Z_F3607253_7816_4CF7_9CFD_2ADFFAD916F8_.wvu.PrintArea" localSheetId="1" hidden="1">Пр2!$A$1:$C$119</definedName>
    <definedName name="Z_F3607253_7816_4CF7_9CFD_2ADFFAD916F8_.wvu.PrintArea" localSheetId="4" hidden="1">Пр5!$A$1:$F$803</definedName>
    <definedName name="Z_F3607253_7816_4CF7_9CFD_2ADFFAD916F8_.wvu.Rows" localSheetId="1" hidden="1">Пр2!$22:$22</definedName>
    <definedName name="Z_F3607253_7816_4CF7_9CFD_2ADFFAD916F8_.wvu.Rows" localSheetId="2" hidden="1">Пр3!#REF!,Пр3!#REF!</definedName>
    <definedName name="_xlnm.Print_Area" localSheetId="8">КВР!$A$1820:$B$1932</definedName>
    <definedName name="_xlnm.Print_Area" localSheetId="5">КВСР!$A$1000:$B$1167</definedName>
    <definedName name="_xlnm.Print_Area" localSheetId="6">КФСР!$A$1:$B$1501</definedName>
    <definedName name="_xlnm.Print_Area" localSheetId="7">КЦСР!$A$2036:$B$3492</definedName>
    <definedName name="_xlnm.Print_Area" localSheetId="3">Пр4!$A$1:$E$37</definedName>
  </definedNames>
  <calcPr calcId="125725"/>
  <customWorkbookViews>
    <customWorkbookView name="Шипина - Личное представление" guid="{91923F83-3A6B-4204-9891-178562AB34F1}" mergeInterval="0" personalView="1" maximized="1" windowWidth="796" windowHeight="435" tabRatio="740" activeSheetId="1"/>
    <customWorkbookView name="Елаева - Личное представление" guid="{66DBF0AC-E9A0-482F-9E41-1928B6CA83DC}" mergeInterval="0" personalView="1" maximized="1" windowWidth="1020" windowHeight="603" tabRatio="740" activeSheetId="1"/>
    <customWorkbookView name="Суворова - Личное представление" guid="{A5E41FC9-89B1-40D2-B587-57BC4C5E4715}" mergeInterval="0" personalView="1" maximized="1" windowWidth="796" windowHeight="435" tabRatio="740" activeSheetId="5"/>
    <customWorkbookView name="User - Личное представление" guid="{F3607253-7816-4CF7-9CFD-2ADFFAD916F8}" mergeInterval="0" personalView="1" maximized="1" windowWidth="1020" windowHeight="603" tabRatio="740" activeSheetId="2"/>
    <customWorkbookView name="Новикова - Личное представление" guid="{B3311466-F005-49F1-A579-3E6CECE305A8}" mergeInterval="0" personalView="1" maximized="1" windowWidth="1020" windowHeight="577" tabRatio="740" activeSheetId="2"/>
    <customWorkbookView name="SEC - Личное представление" guid="{E5662E33-D4B0-43EA-9B06-C8DA9DFDBEF6}" mergeInterval="0" personalView="1" maximized="1" windowWidth="1276" windowHeight="608" tabRatio="740" activeSheetId="6"/>
  </customWorkbookViews>
</workbook>
</file>

<file path=xl/calcChain.xml><?xml version="1.0" encoding="utf-8"?>
<calcChain xmlns="http://schemas.openxmlformats.org/spreadsheetml/2006/main">
  <c r="B37" i="57"/>
  <c r="B35"/>
  <c r="D21" i="6" l="1"/>
  <c r="D16"/>
  <c r="D18"/>
  <c r="D24"/>
  <c r="D102" i="13" l="1"/>
  <c r="D101"/>
  <c r="D34"/>
  <c r="G804" i="5"/>
  <c r="G806"/>
  <c r="G719"/>
  <c r="G572"/>
  <c r="G567" s="1"/>
  <c r="G583"/>
  <c r="G538"/>
  <c r="G364"/>
  <c r="G368"/>
  <c r="G212"/>
  <c r="A672"/>
  <c r="A402"/>
  <c r="G662"/>
  <c r="G485"/>
  <c r="G484" s="1"/>
  <c r="G483" s="1"/>
  <c r="G70"/>
  <c r="G843"/>
  <c r="G837"/>
  <c r="G827"/>
  <c r="G826" s="1"/>
  <c r="G825" s="1"/>
  <c r="G823"/>
  <c r="G819"/>
  <c r="G818" s="1"/>
  <c r="G817" s="1"/>
  <c r="G816" s="1"/>
  <c r="G813"/>
  <c r="G812" s="1"/>
  <c r="G811" s="1"/>
  <c r="G809"/>
  <c r="G807"/>
  <c r="G805"/>
  <c r="G802"/>
  <c r="G801" s="1"/>
  <c r="G800" s="1"/>
  <c r="G799" s="1"/>
  <c r="G797"/>
  <c r="G796"/>
  <c r="G795" s="1"/>
  <c r="G793"/>
  <c r="G792" s="1"/>
  <c r="G791" s="1"/>
  <c r="G790" s="1"/>
  <c r="G787"/>
  <c r="G785"/>
  <c r="G783" s="1"/>
  <c r="G781"/>
  <c r="G780"/>
  <c r="G779" s="1"/>
  <c r="G777"/>
  <c r="G776" s="1"/>
  <c r="G775" s="1"/>
  <c r="G771"/>
  <c r="G770" s="1"/>
  <c r="G769" s="1"/>
  <c r="G762"/>
  <c r="G758"/>
  <c r="G757" s="1"/>
  <c r="G754"/>
  <c r="G753" s="1"/>
  <c r="G752" s="1"/>
  <c r="G750"/>
  <c r="G748"/>
  <c r="G743"/>
  <c r="G741"/>
  <c r="G739"/>
  <c r="G737"/>
  <c r="G736"/>
  <c r="G733"/>
  <c r="G728"/>
  <c r="G727"/>
  <c r="G726" s="1"/>
  <c r="G724"/>
  <c r="G722"/>
  <c r="G721"/>
  <c r="G718"/>
  <c r="G716"/>
  <c r="G713" s="1"/>
  <c r="G715"/>
  <c r="G714" s="1"/>
  <c r="G711"/>
  <c r="G710" s="1"/>
  <c r="G709" s="1"/>
  <c r="G706"/>
  <c r="G705" s="1"/>
  <c r="G704" s="1"/>
  <c r="G701"/>
  <c r="G700" s="1"/>
  <c r="G699" s="1"/>
  <c r="G697"/>
  <c r="G696" s="1"/>
  <c r="G695" s="1"/>
  <c r="G691"/>
  <c r="G689"/>
  <c r="G688" s="1"/>
  <c r="G687" s="1"/>
  <c r="G684"/>
  <c r="G683" s="1"/>
  <c r="G682" s="1"/>
  <c r="G679"/>
  <c r="G678" s="1"/>
  <c r="G676"/>
  <c r="G672"/>
  <c r="G671" s="1"/>
  <c r="G670" s="1"/>
  <c r="G667"/>
  <c r="G665"/>
  <c r="G664"/>
  <c r="G663" s="1"/>
  <c r="G660"/>
  <c r="G659" s="1"/>
  <c r="G658" s="1"/>
  <c r="G656"/>
  <c r="G655" s="1"/>
  <c r="G653"/>
  <c r="G651" s="1"/>
  <c r="G647"/>
  <c r="G646" s="1"/>
  <c r="G639"/>
  <c r="G638" s="1"/>
  <c r="G634"/>
  <c r="G633"/>
  <c r="G632" s="1"/>
  <c r="G629"/>
  <c r="G627" s="1"/>
  <c r="G625"/>
  <c r="G624" s="1"/>
  <c r="G623" s="1"/>
  <c r="G622" s="1"/>
  <c r="G617"/>
  <c r="G616" s="1"/>
  <c r="G615" s="1"/>
  <c r="G610"/>
  <c r="G607"/>
  <c r="G606" s="1"/>
  <c r="G605" s="1"/>
  <c r="G598"/>
  <c r="G597" s="1"/>
  <c r="G594"/>
  <c r="G593"/>
  <c r="G591"/>
  <c r="G590" s="1"/>
  <c r="G588"/>
  <c r="G587" s="1"/>
  <c r="G585"/>
  <c r="G584" s="1"/>
  <c r="G580"/>
  <c r="G577"/>
  <c r="G575"/>
  <c r="G573"/>
  <c r="G570"/>
  <c r="G568"/>
  <c r="G565"/>
  <c r="G564" s="1"/>
  <c r="G561"/>
  <c r="G560" s="1"/>
  <c r="G559" s="1"/>
  <c r="G558" s="1"/>
  <c r="G556"/>
  <c r="G555" s="1"/>
  <c r="G553"/>
  <c r="G551"/>
  <c r="G550" s="1"/>
  <c r="G548"/>
  <c r="G547"/>
  <c r="G545"/>
  <c r="G543"/>
  <c r="G542" s="1"/>
  <c r="G541" s="1"/>
  <c r="G536"/>
  <c r="G534"/>
  <c r="G533" s="1"/>
  <c r="G530"/>
  <c r="G526"/>
  <c r="G525"/>
  <c r="G524" s="1"/>
  <c r="G522"/>
  <c r="G521" s="1"/>
  <c r="G518"/>
  <c r="G517"/>
  <c r="G516" s="1"/>
  <c r="G515" s="1"/>
  <c r="G513"/>
  <c r="G512" s="1"/>
  <c r="G511" s="1"/>
  <c r="G510" s="1"/>
  <c r="G508"/>
  <c r="G507" s="1"/>
  <c r="G506" s="1"/>
  <c r="G503"/>
  <c r="G502"/>
  <c r="G501" s="1"/>
  <c r="G499"/>
  <c r="G498" s="1"/>
  <c r="G497" s="1"/>
  <c r="G496" s="1"/>
  <c r="G494"/>
  <c r="G493" s="1"/>
  <c r="G492" s="1"/>
  <c r="G491" s="1"/>
  <c r="G489"/>
  <c r="G488" s="1"/>
  <c r="G487" s="1"/>
  <c r="G481"/>
  <c r="G476"/>
  <c r="G475" s="1"/>
  <c r="G474" s="1"/>
  <c r="G470"/>
  <c r="G469" s="1"/>
  <c r="G468" s="1"/>
  <c r="G466"/>
  <c r="G465" s="1"/>
  <c r="G464" s="1"/>
  <c r="G455"/>
  <c r="G453" s="1"/>
  <c r="G449"/>
  <c r="G448" s="1"/>
  <c r="G447" s="1"/>
  <c r="G445"/>
  <c r="G444" s="1"/>
  <c r="G443" s="1"/>
  <c r="G440"/>
  <c r="G439" s="1"/>
  <c r="G438" s="1"/>
  <c r="G430"/>
  <c r="G429" s="1"/>
  <c r="G426"/>
  <c r="G425" s="1"/>
  <c r="G424" s="1"/>
  <c r="G422"/>
  <c r="G421"/>
  <c r="G419"/>
  <c r="G418" s="1"/>
  <c r="G415"/>
  <c r="G414" s="1"/>
  <c r="G412"/>
  <c r="G411" s="1"/>
  <c r="G408"/>
  <c r="G407" s="1"/>
  <c r="G405"/>
  <c r="G404" s="1"/>
  <c r="G403" s="1"/>
  <c r="G402" s="1"/>
  <c r="G400"/>
  <c r="G397"/>
  <c r="G396" s="1"/>
  <c r="G395" s="1"/>
  <c r="G392"/>
  <c r="G390"/>
  <c r="G388"/>
  <c r="G386"/>
  <c r="G384"/>
  <c r="G383" s="1"/>
  <c r="G381"/>
  <c r="G380" s="1"/>
  <c r="G378"/>
  <c r="G376"/>
  <c r="G374"/>
  <c r="G373" s="1"/>
  <c r="G371"/>
  <c r="G370"/>
  <c r="G367"/>
  <c r="G365"/>
  <c r="G362"/>
  <c r="G361" s="1"/>
  <c r="G357"/>
  <c r="G356" s="1"/>
  <c r="G355" s="1"/>
  <c r="G353"/>
  <c r="G352" s="1"/>
  <c r="G351" s="1"/>
  <c r="G349"/>
  <c r="G348" s="1"/>
  <c r="G347" s="1"/>
  <c r="G344"/>
  <c r="G342"/>
  <c r="G340"/>
  <c r="G336"/>
  <c r="G335" s="1"/>
  <c r="G331"/>
  <c r="G330" s="1"/>
  <c r="G329" s="1"/>
  <c r="G326"/>
  <c r="G325" s="1"/>
  <c r="G323"/>
  <c r="G322" s="1"/>
  <c r="G318"/>
  <c r="G317"/>
  <c r="G316" s="1"/>
  <c r="G314"/>
  <c r="G313" s="1"/>
  <c r="G312" s="1"/>
  <c r="G309"/>
  <c r="G306"/>
  <c r="G302"/>
  <c r="G301" s="1"/>
  <c r="G299"/>
  <c r="G298"/>
  <c r="G296"/>
  <c r="G295" s="1"/>
  <c r="G293"/>
  <c r="G292" s="1"/>
  <c r="G289"/>
  <c r="G288" s="1"/>
  <c r="G287" s="1"/>
  <c r="G279"/>
  <c r="G278" s="1"/>
  <c r="G276"/>
  <c r="G274"/>
  <c r="G273" s="1"/>
  <c r="G270"/>
  <c r="G269" s="1"/>
  <c r="G268" s="1"/>
  <c r="G262"/>
  <c r="G261" s="1"/>
  <c r="G258"/>
  <c r="G257" s="1"/>
  <c r="G255"/>
  <c r="G252"/>
  <c r="G249"/>
  <c r="G248" s="1"/>
  <c r="G247" s="1"/>
  <c r="G244"/>
  <c r="G243" s="1"/>
  <c r="G242" s="1"/>
  <c r="G239"/>
  <c r="G238" s="1"/>
  <c r="G236"/>
  <c r="G235" s="1"/>
  <c r="G234" s="1"/>
  <c r="G232"/>
  <c r="G231"/>
  <c r="G230" s="1"/>
  <c r="G228"/>
  <c r="G227" s="1"/>
  <c r="G226" s="1"/>
  <c r="G223"/>
  <c r="G222" s="1"/>
  <c r="G219"/>
  <c r="G218" s="1"/>
  <c r="G216"/>
  <c r="G211"/>
  <c r="G210" s="1"/>
  <c r="G208"/>
  <c r="G207" s="1"/>
  <c r="G206" s="1"/>
  <c r="G203"/>
  <c r="G202" s="1"/>
  <c r="G200"/>
  <c r="G199" s="1"/>
  <c r="G198" s="1"/>
  <c r="G196"/>
  <c r="G195" s="1"/>
  <c r="G192"/>
  <c r="G191" s="1"/>
  <c r="G190" s="1"/>
  <c r="G188"/>
  <c r="G187" s="1"/>
  <c r="G186" s="1"/>
  <c r="G183"/>
  <c r="G182" s="1"/>
  <c r="G181" s="1"/>
  <c r="G180" s="1"/>
  <c r="G178"/>
  <c r="G175" s="1"/>
  <c r="G173"/>
  <c r="G172"/>
  <c r="G171" s="1"/>
  <c r="G169"/>
  <c r="G167" s="1"/>
  <c r="G163"/>
  <c r="G162" s="1"/>
  <c r="G161" s="1"/>
  <c r="G159"/>
  <c r="G158" s="1"/>
  <c r="G156"/>
  <c r="G155" s="1"/>
  <c r="G153"/>
  <c r="G152" s="1"/>
  <c r="G144"/>
  <c r="G143" s="1"/>
  <c r="G139"/>
  <c r="G138" s="1"/>
  <c r="G137" s="1"/>
  <c r="G135"/>
  <c r="G134" s="1"/>
  <c r="G133" s="1"/>
  <c r="G131"/>
  <c r="G129"/>
  <c r="G128" s="1"/>
  <c r="G127" s="1"/>
  <c r="G124"/>
  <c r="G123" s="1"/>
  <c r="G122" s="1"/>
  <c r="G120"/>
  <c r="G119" s="1"/>
  <c r="G118" s="1"/>
  <c r="G115"/>
  <c r="G114" s="1"/>
  <c r="G113" s="1"/>
  <c r="G111"/>
  <c r="G110" s="1"/>
  <c r="G108"/>
  <c r="G107" s="1"/>
  <c r="G106" s="1"/>
  <c r="G103"/>
  <c r="G102" s="1"/>
  <c r="G99"/>
  <c r="G98" s="1"/>
  <c r="G97" s="1"/>
  <c r="G94"/>
  <c r="G93" s="1"/>
  <c r="G91"/>
  <c r="G90" s="1"/>
  <c r="G89" s="1"/>
  <c r="G87"/>
  <c r="G86" s="1"/>
  <c r="G85" s="1"/>
  <c r="G83"/>
  <c r="G82" s="1"/>
  <c r="G77"/>
  <c r="G76" s="1"/>
  <c r="G73"/>
  <c r="G72" s="1"/>
  <c r="G71" s="1"/>
  <c r="G68"/>
  <c r="G67" s="1"/>
  <c r="G66" s="1"/>
  <c r="G65" s="1"/>
  <c r="G59"/>
  <c r="G58" s="1"/>
  <c r="G57" s="1"/>
  <c r="G56" s="1"/>
  <c r="G54"/>
  <c r="G53" s="1"/>
  <c r="G51"/>
  <c r="G50" s="1"/>
  <c r="G48"/>
  <c r="G47" s="1"/>
  <c r="G46" s="1"/>
  <c r="G44"/>
  <c r="G43" s="1"/>
  <c r="G42" s="1"/>
  <c r="G40"/>
  <c r="G39" s="1"/>
  <c r="G34"/>
  <c r="G33" s="1"/>
  <c r="G30"/>
  <c r="G29" s="1"/>
  <c r="G28" s="1"/>
  <c r="G26"/>
  <c r="G25" s="1"/>
  <c r="G24" s="1"/>
  <c r="G16"/>
  <c r="G15" s="1"/>
  <c r="G14" s="1"/>
  <c r="G12"/>
  <c r="G11" s="1"/>
  <c r="G10" s="1"/>
  <c r="J41" i="1"/>
  <c r="J149"/>
  <c r="J148" s="1"/>
  <c r="G774" i="5" l="1"/>
  <c r="G652"/>
  <c r="G452"/>
  <c r="G563"/>
  <c r="G532"/>
  <c r="G835"/>
  <c r="G834" s="1"/>
  <c r="G836"/>
  <c r="G821"/>
  <c r="G822"/>
  <c r="G784"/>
  <c r="G760"/>
  <c r="G761"/>
  <c r="G730"/>
  <c r="G732"/>
  <c r="G731" s="1"/>
  <c r="G703"/>
  <c r="G694"/>
  <c r="G686"/>
  <c r="G674"/>
  <c r="G675"/>
  <c r="G637"/>
  <c r="G636" s="1"/>
  <c r="G628"/>
  <c r="G596"/>
  <c r="G528"/>
  <c r="G529"/>
  <c r="G520"/>
  <c r="G478"/>
  <c r="G480"/>
  <c r="G479" s="1"/>
  <c r="G463"/>
  <c r="G454"/>
  <c r="G428"/>
  <c r="G417"/>
  <c r="G360"/>
  <c r="G346" s="1"/>
  <c r="G338"/>
  <c r="G339"/>
  <c r="G311"/>
  <c r="G260"/>
  <c r="G241"/>
  <c r="G214"/>
  <c r="G215"/>
  <c r="G194"/>
  <c r="G177"/>
  <c r="G176" s="1"/>
  <c r="G168"/>
  <c r="G142"/>
  <c r="G141" s="1"/>
  <c r="G126"/>
  <c r="G96"/>
  <c r="G81"/>
  <c r="G32"/>
  <c r="D19" i="58"/>
  <c r="E13"/>
  <c r="D13"/>
  <c r="J137" i="1"/>
  <c r="J49"/>
  <c r="J102"/>
  <c r="F31" i="56"/>
  <c r="D30" i="60"/>
  <c r="D26"/>
  <c r="D23"/>
  <c r="C19"/>
  <c r="C32" s="1"/>
  <c r="D19"/>
  <c r="D13"/>
  <c r="G669" i="5" l="1"/>
  <c r="G505"/>
  <c r="G185"/>
  <c r="G9"/>
  <c r="D32" i="60"/>
  <c r="G846" i="5" l="1"/>
  <c r="B17" i="59"/>
  <c r="C17"/>
  <c r="B19" i="58"/>
  <c r="C13"/>
  <c r="B13"/>
  <c r="B12"/>
  <c r="B11"/>
  <c r="D13" i="53" l="1"/>
  <c r="D11"/>
  <c r="D9"/>
  <c r="D23" i="6"/>
  <c r="D109" i="13"/>
  <c r="D103"/>
  <c r="D87"/>
  <c r="D79"/>
  <c r="D71"/>
  <c r="D58"/>
  <c r="D53"/>
  <c r="D48"/>
  <c r="J43" i="1"/>
  <c r="J42" s="1"/>
  <c r="J30"/>
  <c r="J36"/>
  <c r="J34" s="1"/>
  <c r="J26"/>
  <c r="J24"/>
  <c r="J14"/>
  <c r="J12"/>
  <c r="C9" i="53"/>
  <c r="C10"/>
  <c r="E10" i="56"/>
  <c r="C12" i="53"/>
  <c r="C15"/>
  <c r="C14"/>
  <c r="E11" i="56"/>
  <c r="D16" i="53" l="1"/>
  <c r="J23" i="1"/>
  <c r="D15" i="6"/>
  <c r="D10"/>
  <c r="B22" i="57"/>
  <c r="B17"/>
  <c r="B21"/>
  <c r="B20" l="1"/>
  <c r="B23" s="1"/>
  <c r="B14"/>
  <c r="D31" i="56" l="1"/>
  <c r="E27"/>
  <c r="E26"/>
  <c r="E25"/>
  <c r="E24"/>
  <c r="E22"/>
  <c r="E21"/>
  <c r="E20"/>
  <c r="E19"/>
  <c r="E18"/>
  <c r="E17"/>
  <c r="E16"/>
  <c r="E15"/>
  <c r="E12"/>
  <c r="E31" l="1"/>
  <c r="A824" i="5"/>
  <c r="A823"/>
  <c r="A783"/>
  <c r="A753"/>
  <c r="A735"/>
  <c r="A734"/>
  <c r="A721"/>
  <c r="A719"/>
  <c r="A718"/>
  <c r="A707"/>
  <c r="A708"/>
  <c r="A709"/>
  <c r="A710"/>
  <c r="A711"/>
  <c r="A712"/>
  <c r="A713"/>
  <c r="A714"/>
  <c r="A715"/>
  <c r="A716"/>
  <c r="A717"/>
  <c r="A720"/>
  <c r="A722"/>
  <c r="A723"/>
  <c r="A724"/>
  <c r="A725"/>
  <c r="A726"/>
  <c r="A727"/>
  <c r="A728"/>
  <c r="A729"/>
  <c r="A730"/>
  <c r="A731"/>
  <c r="A732"/>
  <c r="A733"/>
  <c r="A736"/>
  <c r="A737"/>
  <c r="A738"/>
  <c r="A739"/>
  <c r="A740"/>
  <c r="A741"/>
  <c r="A742"/>
  <c r="A743"/>
  <c r="A744"/>
  <c r="A745"/>
  <c r="A746"/>
  <c r="A747"/>
  <c r="A748"/>
  <c r="A749"/>
  <c r="A750"/>
  <c r="A751"/>
  <c r="A752"/>
  <c r="A754"/>
  <c r="A755"/>
  <c r="A756"/>
  <c r="A757"/>
  <c r="A758"/>
  <c r="A759"/>
  <c r="A760"/>
  <c r="A761"/>
  <c r="A762"/>
  <c r="A763"/>
  <c r="A764"/>
  <c r="A765"/>
  <c r="A766"/>
  <c r="A767"/>
  <c r="A768"/>
  <c r="A769"/>
  <c r="A770"/>
  <c r="A771"/>
  <c r="A772"/>
  <c r="A773"/>
  <c r="A774"/>
  <c r="A775"/>
  <c r="A776"/>
  <c r="A777"/>
  <c r="A778"/>
  <c r="A779"/>
  <c r="A780"/>
  <c r="A781"/>
  <c r="A782"/>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5"/>
  <c r="A826"/>
  <c r="A827"/>
  <c r="A828"/>
  <c r="A706"/>
  <c r="A702"/>
  <c r="A703"/>
  <c r="A704"/>
  <c r="A705"/>
  <c r="A701"/>
  <c r="A690"/>
  <c r="A689"/>
  <c r="A688"/>
  <c r="A687"/>
  <c r="A674"/>
  <c r="A673"/>
  <c r="A621"/>
  <c r="A622" l="1"/>
  <c r="A623"/>
  <c r="A624"/>
  <c r="A625"/>
  <c r="A626"/>
  <c r="A627"/>
  <c r="A620"/>
  <c r="A610"/>
  <c r="A609"/>
  <c r="A593"/>
  <c r="A608" l="1"/>
  <c r="A605"/>
  <c r="A606"/>
  <c r="A607"/>
  <c r="A604"/>
  <c r="A594"/>
  <c r="A595"/>
  <c r="A596"/>
  <c r="A592"/>
  <c r="A590"/>
  <c r="A591"/>
  <c r="A589"/>
  <c r="A583"/>
  <c r="A584"/>
  <c r="A585"/>
  <c r="A586"/>
  <c r="A581"/>
  <c r="A582"/>
  <c r="A579"/>
  <c r="A580"/>
  <c r="A577"/>
  <c r="A578"/>
  <c r="A576"/>
  <c r="A587"/>
  <c r="A588"/>
  <c r="A597"/>
  <c r="A575"/>
  <c r="A574"/>
  <c r="A536"/>
  <c r="A537"/>
  <c r="A535"/>
  <c r="A571"/>
  <c r="A566"/>
  <c r="A567"/>
  <c r="A568"/>
  <c r="A569"/>
  <c r="A570"/>
  <c r="A573"/>
  <c r="A565"/>
  <c r="A539"/>
  <c r="A561"/>
  <c r="A572"/>
  <c r="A632"/>
  <c r="A633"/>
  <c r="A634"/>
  <c r="A635"/>
  <c r="A373"/>
  <c r="A374"/>
  <c r="A375"/>
  <c r="A198" l="1"/>
  <c r="A199"/>
  <c r="A200"/>
  <c r="A201"/>
  <c r="A110"/>
  <c r="A111"/>
  <c r="A112"/>
  <c r="A72" l="1"/>
  <c r="A76"/>
  <c r="A73"/>
  <c r="A71"/>
  <c r="A75"/>
  <c r="A74"/>
  <c r="C13" i="53"/>
  <c r="C11"/>
  <c r="C16" l="1"/>
  <c r="A451" i="5" l="1"/>
  <c r="A835" l="1"/>
  <c r="A842"/>
  <c r="A514"/>
  <c r="A515"/>
  <c r="A516"/>
  <c r="A517"/>
  <c r="A518"/>
  <c r="A507"/>
  <c r="A508"/>
  <c r="A509"/>
  <c r="A510"/>
  <c r="A511"/>
  <c r="A512"/>
  <c r="A513"/>
  <c r="A506"/>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459"/>
  <c r="A458"/>
  <c r="A456"/>
  <c r="A457"/>
  <c r="A455"/>
  <c r="A454"/>
  <c r="A453"/>
  <c r="A348"/>
  <c r="A349"/>
  <c r="A350"/>
  <c r="A351"/>
  <c r="A352"/>
  <c r="A353"/>
  <c r="A354"/>
  <c r="A355"/>
  <c r="A356"/>
  <c r="A357"/>
  <c r="A358"/>
  <c r="A359"/>
  <c r="A360"/>
  <c r="A361"/>
  <c r="A362"/>
  <c r="A363"/>
  <c r="A364"/>
  <c r="A365"/>
  <c r="A366"/>
  <c r="A367"/>
  <c r="A368"/>
  <c r="A369"/>
  <c r="A370"/>
  <c r="A371"/>
  <c r="A372"/>
  <c r="A376"/>
  <c r="A377"/>
  <c r="A378"/>
  <c r="A379"/>
  <c r="A380"/>
  <c r="A381"/>
  <c r="A382"/>
  <c r="A383"/>
  <c r="A384"/>
  <c r="A385"/>
  <c r="A386"/>
  <c r="A387"/>
  <c r="A388"/>
  <c r="A389"/>
  <c r="A390"/>
  <c r="A391"/>
  <c r="A392"/>
  <c r="A393"/>
  <c r="A394"/>
  <c r="A395"/>
  <c r="A396"/>
  <c r="A397"/>
  <c r="A398"/>
  <c r="A399"/>
  <c r="A400"/>
  <c r="A401"/>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347"/>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275"/>
  <c r="A274"/>
  <c r="A273"/>
  <c r="A272"/>
  <c r="A271"/>
  <c r="A270"/>
  <c r="A268"/>
  <c r="A269"/>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24"/>
  <c r="A225"/>
  <c r="A226"/>
  <c r="A227"/>
  <c r="A221"/>
  <c r="A222"/>
  <c r="A223"/>
  <c r="A219"/>
  <c r="A220"/>
  <c r="A213"/>
  <c r="A214"/>
  <c r="A215"/>
  <c r="A216"/>
  <c r="A217"/>
  <c r="A218"/>
  <c r="A208"/>
  <c r="A209"/>
  <c r="A210"/>
  <c r="A211"/>
  <c r="A212"/>
  <c r="A206"/>
  <c r="A207"/>
  <c r="A197"/>
  <c r="A202"/>
  <c r="A203"/>
  <c r="A204"/>
  <c r="A205"/>
  <c r="A191"/>
  <c r="A192"/>
  <c r="A193"/>
  <c r="A194"/>
  <c r="A195"/>
  <c r="A196"/>
  <c r="A187"/>
  <c r="A188"/>
  <c r="A189"/>
  <c r="A190"/>
  <c r="A186"/>
  <c r="A182"/>
  <c r="A183"/>
  <c r="A184"/>
  <c r="A175"/>
  <c r="A176"/>
  <c r="A177"/>
  <c r="A178"/>
  <c r="A179"/>
  <c r="A180"/>
  <c r="A181"/>
  <c r="A171"/>
  <c r="A172"/>
  <c r="A173"/>
  <c r="A174"/>
  <c r="A168"/>
  <c r="A169"/>
  <c r="A170"/>
  <c r="A167"/>
  <c r="A166"/>
  <c r="A164"/>
  <c r="A165"/>
  <c r="A163"/>
  <c r="A161"/>
  <c r="A162"/>
  <c r="A160"/>
  <c r="A159"/>
  <c r="A154"/>
  <c r="A155"/>
  <c r="A156"/>
  <c r="A157"/>
  <c r="A158"/>
  <c r="A150"/>
  <c r="A151"/>
  <c r="A152"/>
  <c r="A153"/>
  <c r="A149"/>
  <c r="A143"/>
  <c r="A144"/>
  <c r="A145"/>
  <c r="A146"/>
  <c r="A147"/>
  <c r="A148"/>
  <c r="A142"/>
  <c r="A79"/>
  <c r="A80"/>
  <c r="A81"/>
  <c r="A82"/>
  <c r="A83"/>
  <c r="A84"/>
  <c r="A85"/>
  <c r="A86"/>
  <c r="A87"/>
  <c r="A88"/>
  <c r="A89"/>
  <c r="A90"/>
  <c r="A91"/>
  <c r="A92"/>
  <c r="A93"/>
  <c r="A94"/>
  <c r="A95"/>
  <c r="A96"/>
  <c r="A97"/>
  <c r="A98"/>
  <c r="A99"/>
  <c r="A100"/>
  <c r="A101"/>
  <c r="A102"/>
  <c r="A103"/>
  <c r="A104"/>
  <c r="A105"/>
  <c r="A106"/>
  <c r="A107"/>
  <c r="A108"/>
  <c r="A109"/>
  <c r="A113"/>
  <c r="A114"/>
  <c r="A115"/>
  <c r="A116"/>
  <c r="A117"/>
  <c r="A118"/>
  <c r="A119"/>
  <c r="A120"/>
  <c r="A121"/>
  <c r="A122"/>
  <c r="A123"/>
  <c r="A124"/>
  <c r="A125"/>
  <c r="A126"/>
  <c r="A127"/>
  <c r="A128"/>
  <c r="A129"/>
  <c r="A130"/>
  <c r="A131"/>
  <c r="A132"/>
  <c r="A133"/>
  <c r="A134"/>
  <c r="A135"/>
  <c r="A136"/>
  <c r="A137"/>
  <c r="A138"/>
  <c r="A139"/>
  <c r="A140"/>
  <c r="A32"/>
  <c r="A33"/>
  <c r="A34"/>
  <c r="A35"/>
  <c r="A36"/>
  <c r="A37"/>
  <c r="A38"/>
  <c r="A39"/>
  <c r="A40"/>
  <c r="A41"/>
  <c r="A42"/>
  <c r="A43"/>
  <c r="A44"/>
  <c r="A45"/>
  <c r="A46"/>
  <c r="A47"/>
  <c r="A48"/>
  <c r="A49"/>
  <c r="A50"/>
  <c r="A51"/>
  <c r="A52"/>
  <c r="A53"/>
  <c r="A54"/>
  <c r="A55"/>
  <c r="A56"/>
  <c r="A57"/>
  <c r="A58"/>
  <c r="A59"/>
  <c r="A60"/>
  <c r="A61"/>
  <c r="A62"/>
  <c r="A63"/>
  <c r="A64"/>
  <c r="A65"/>
  <c r="A66"/>
  <c r="A67"/>
  <c r="A68"/>
  <c r="A69"/>
  <c r="A70"/>
  <c r="A77"/>
  <c r="A78"/>
  <c r="A26"/>
  <c r="A27"/>
  <c r="A28"/>
  <c r="A29"/>
  <c r="A30"/>
  <c r="A31"/>
  <c r="A25"/>
  <c r="A23"/>
  <c r="A22"/>
  <c r="A24"/>
  <c r="A21"/>
  <c r="A18"/>
  <c r="A19"/>
  <c r="A20"/>
  <c r="A17"/>
  <c r="A14"/>
  <c r="C10" i="2" l="1"/>
  <c r="C11"/>
  <c r="C12"/>
  <c r="C13"/>
  <c r="C14"/>
  <c r="C15"/>
  <c r="C16"/>
  <c r="C17"/>
  <c r="C18"/>
  <c r="C19"/>
  <c r="C20"/>
  <c r="C21"/>
  <c r="C23"/>
  <c r="C24"/>
  <c r="C25"/>
  <c r="C26"/>
  <c r="C27"/>
  <c r="C28"/>
  <c r="C29"/>
  <c r="C30"/>
  <c r="C31"/>
  <c r="C33"/>
  <c r="C34"/>
  <c r="C35"/>
  <c r="C36"/>
  <c r="C37"/>
  <c r="C38"/>
  <c r="C39"/>
  <c r="C40"/>
  <c r="C41"/>
  <c r="C42"/>
  <c r="C43"/>
  <c r="C44"/>
  <c r="C46"/>
  <c r="C47"/>
  <c r="C48"/>
  <c r="C49"/>
  <c r="C50"/>
  <c r="C51"/>
  <c r="C52"/>
  <c r="C53"/>
  <c r="C54"/>
  <c r="C55"/>
  <c r="C56"/>
  <c r="C57"/>
  <c r="C59"/>
  <c r="C60"/>
  <c r="C61"/>
  <c r="C62"/>
  <c r="C63"/>
  <c r="C65"/>
  <c r="C66"/>
  <c r="C67"/>
  <c r="C68"/>
  <c r="C69"/>
  <c r="C71"/>
  <c r="C72"/>
  <c r="C73"/>
  <c r="C74"/>
  <c r="C75"/>
  <c r="C76"/>
  <c r="C77"/>
  <c r="C78"/>
  <c r="C79"/>
  <c r="C81"/>
  <c r="C82"/>
  <c r="C83"/>
  <c r="C84"/>
  <c r="C86"/>
  <c r="C87"/>
  <c r="C88"/>
  <c r="C89"/>
  <c r="C90"/>
  <c r="C91"/>
  <c r="C92"/>
  <c r="C93"/>
  <c r="C94"/>
  <c r="C96"/>
  <c r="C97"/>
  <c r="C98"/>
  <c r="C99"/>
  <c r="C100"/>
  <c r="C101"/>
  <c r="C103"/>
  <c r="C104"/>
  <c r="C105"/>
  <c r="C106"/>
  <c r="C107"/>
  <c r="C109"/>
  <c r="C110"/>
  <c r="C111"/>
  <c r="C112"/>
  <c r="C114"/>
  <c r="C115"/>
  <c r="C117"/>
  <c r="C118"/>
  <c r="C119"/>
  <c r="C9" l="1"/>
  <c r="C108"/>
  <c r="C80"/>
  <c r="C45"/>
  <c r="C64"/>
  <c r="C102"/>
  <c r="C113"/>
  <c r="C22"/>
  <c r="C85"/>
  <c r="C58"/>
  <c r="C32"/>
  <c r="C116"/>
  <c r="C95"/>
  <c r="C70"/>
  <c r="C120" l="1"/>
  <c r="C121" s="1"/>
  <c r="A618" i="5" l="1"/>
  <c r="A529" l="1"/>
  <c r="A530"/>
  <c r="A531"/>
  <c r="A693" l="1"/>
  <c r="A685"/>
  <c r="A671"/>
  <c r="A562"/>
  <c r="A557"/>
  <c r="A527"/>
  <c r="A519"/>
  <c r="D11" i="13" l="1"/>
  <c r="D14"/>
  <c r="D15" s="1"/>
  <c r="D19"/>
  <c r="D20" s="1"/>
  <c r="D26"/>
  <c r="C26"/>
  <c r="C110" s="1"/>
  <c r="D39"/>
  <c r="D40" s="1"/>
  <c r="C40"/>
  <c r="D63"/>
  <c r="D92"/>
  <c r="D35" l="1"/>
  <c r="D110" l="1"/>
  <c r="A682" i="5" l="1"/>
  <c r="A683"/>
  <c r="A684"/>
  <c r="A686"/>
  <c r="A692" l="1"/>
  <c r="C19" i="6" l="1"/>
  <c r="A564" i="5" l="1"/>
  <c r="A631"/>
  <c r="A545"/>
  <c r="A546"/>
  <c r="A524"/>
  <c r="A525"/>
  <c r="A526"/>
  <c r="A670"/>
  <c r="A558" l="1"/>
  <c r="A559"/>
  <c r="A560"/>
  <c r="C11" i="6"/>
  <c r="A675" i="5" l="1"/>
  <c r="A676"/>
  <c r="A677"/>
  <c r="A553" l="1"/>
  <c r="A554"/>
  <c r="J28" i="1" l="1"/>
  <c r="A832" i="5" l="1"/>
  <c r="A833"/>
  <c r="A829"/>
  <c r="A830"/>
  <c r="A831"/>
  <c r="A681"/>
  <c r="A691"/>
  <c r="D12" i="2" l="1"/>
  <c r="J15" i="1" l="1"/>
  <c r="A10" i="5" l="1"/>
  <c r="A550" l="1"/>
  <c r="A551"/>
  <c r="A552"/>
  <c r="A555"/>
  <c r="A556"/>
  <c r="A615"/>
  <c r="A700" l="1"/>
  <c r="A699"/>
  <c r="A611" l="1"/>
  <c r="A612"/>
  <c r="A613"/>
  <c r="A614"/>
  <c r="A599"/>
  <c r="A600"/>
  <c r="A601"/>
  <c r="A602"/>
  <c r="A603"/>
  <c r="A598"/>
  <c r="A141"/>
  <c r="A185"/>
  <c r="A346"/>
  <c r="A452"/>
  <c r="A505"/>
  <c r="A520"/>
  <c r="A521"/>
  <c r="A522"/>
  <c r="A523"/>
  <c r="A528"/>
  <c r="A532"/>
  <c r="A533"/>
  <c r="A534"/>
  <c r="A538"/>
  <c r="A540"/>
  <c r="A541"/>
  <c r="A542"/>
  <c r="A543"/>
  <c r="A544"/>
  <c r="A547"/>
  <c r="A548"/>
  <c r="A549"/>
  <c r="A563"/>
  <c r="A616"/>
  <c r="A617"/>
  <c r="A619"/>
  <c r="A628"/>
  <c r="A629"/>
  <c r="A630"/>
  <c r="A669"/>
  <c r="A678"/>
  <c r="A679"/>
  <c r="A680"/>
  <c r="A694"/>
  <c r="A695"/>
  <c r="A696"/>
  <c r="A697"/>
  <c r="A698"/>
  <c r="A834"/>
  <c r="A836"/>
  <c r="A837"/>
  <c r="A838"/>
  <c r="A839"/>
  <c r="A840"/>
  <c r="A841"/>
  <c r="A843"/>
  <c r="A844"/>
  <c r="A845"/>
  <c r="D39" i="2" l="1"/>
  <c r="D10"/>
  <c r="D15"/>
  <c r="D16"/>
  <c r="D17"/>
  <c r="D18"/>
  <c r="D19"/>
  <c r="D20"/>
  <c r="J19" i="1"/>
  <c r="D23" i="2"/>
  <c r="D24"/>
  <c r="D26"/>
  <c r="D27"/>
  <c r="D28"/>
  <c r="D29"/>
  <c r="D30"/>
  <c r="D31"/>
  <c r="D33"/>
  <c r="D35"/>
  <c r="D36"/>
  <c r="D37"/>
  <c r="D38"/>
  <c r="D40"/>
  <c r="D41"/>
  <c r="D42"/>
  <c r="D43"/>
  <c r="D44"/>
  <c r="D47"/>
  <c r="D48"/>
  <c r="D49"/>
  <c r="D52"/>
  <c r="D55"/>
  <c r="D56"/>
  <c r="D61"/>
  <c r="D62"/>
  <c r="D65"/>
  <c r="D66"/>
  <c r="D67"/>
  <c r="D68"/>
  <c r="D73"/>
  <c r="D74"/>
  <c r="D75"/>
  <c r="D76"/>
  <c r="D78"/>
  <c r="D82"/>
  <c r="D83"/>
  <c r="D86"/>
  <c r="D87"/>
  <c r="D88"/>
  <c r="D89"/>
  <c r="D90"/>
  <c r="D91"/>
  <c r="D92"/>
  <c r="D93"/>
  <c r="D94"/>
  <c r="D100"/>
  <c r="D103"/>
  <c r="D105"/>
  <c r="D106"/>
  <c r="D107"/>
  <c r="D109"/>
  <c r="D111"/>
  <c r="D112"/>
  <c r="D115"/>
  <c r="D118"/>
  <c r="D119"/>
  <c r="A9" i="5"/>
  <c r="A11"/>
  <c r="A12"/>
  <c r="A13"/>
  <c r="A15"/>
  <c r="A16"/>
  <c r="D25" i="2"/>
  <c r="D114"/>
  <c r="C13" i="6"/>
  <c r="C18"/>
  <c r="C24"/>
  <c r="D51" i="2"/>
  <c r="J11" i="1" l="1"/>
  <c r="J153" s="1"/>
  <c r="C23" i="6"/>
  <c r="C15"/>
  <c r="D96" i="2"/>
  <c r="D46"/>
  <c r="C10" i="6"/>
  <c r="D11" i="2"/>
  <c r="D22"/>
  <c r="D117"/>
  <c r="D116" s="1"/>
  <c r="D54"/>
  <c r="D85"/>
  <c r="D113"/>
  <c r="D97"/>
  <c r="D57"/>
  <c r="D110" l="1"/>
  <c r="D108" s="1"/>
  <c r="D71"/>
  <c r="C21" i="6"/>
  <c r="D53" i="2"/>
  <c r="D101"/>
  <c r="D34"/>
  <c r="D32" s="1"/>
  <c r="D13"/>
  <c r="D79"/>
  <c r="D59"/>
  <c r="D63" l="1"/>
  <c r="D69"/>
  <c r="D64" s="1"/>
  <c r="D77"/>
  <c r="D50"/>
  <c r="D45" s="1"/>
  <c r="D72"/>
  <c r="D60"/>
  <c r="D58" l="1"/>
  <c r="D70"/>
  <c r="D21"/>
  <c r="D99" l="1"/>
  <c r="D84" l="1"/>
  <c r="D14" l="1"/>
  <c r="D9" s="1"/>
  <c r="D98" l="1"/>
  <c r="D95" s="1"/>
  <c r="D104"/>
  <c r="D102" s="1"/>
  <c r="D81"/>
  <c r="D80" s="1"/>
  <c r="D120" l="1"/>
  <c r="C22" i="6" l="1"/>
  <c r="C20" s="1"/>
  <c r="C26" s="1"/>
  <c r="D22"/>
  <c r="D20" s="1"/>
  <c r="D26" s="1"/>
  <c r="D121" i="2"/>
</calcChain>
</file>

<file path=xl/sharedStrings.xml><?xml version="1.0" encoding="utf-8"?>
<sst xmlns="http://schemas.openxmlformats.org/spreadsheetml/2006/main" count="4018" uniqueCount="2341">
  <si>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</si>
  <si>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</si>
  <si>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</si>
  <si>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</si>
  <si>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</si>
  <si>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</si>
  <si>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Приложение 4</t>
  </si>
  <si>
    <t xml:space="preserve">Наименование </t>
  </si>
  <si>
    <t>Константиновское сельское поселение</t>
  </si>
  <si>
    <t xml:space="preserve">2. Субсидия на реализацию муниципальных программ развития субъектов малого и среднего  предпринимательства, включенных в перечень монопрофильных муниципальных районов с высокой степенью проявления кризисной ситуации в социально-экономической сфере </t>
  </si>
  <si>
    <t>Городское поселение Тутаев</t>
  </si>
  <si>
    <t>3. Субсидия на финансирование дорожного хозяйства</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</si>
  <si>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</si>
  <si>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</si>
  <si>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</si>
  <si>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</si>
  <si>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</si>
  <si>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</si>
  <si>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Администратора</t>
  </si>
  <si>
    <t>Группы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</si>
  <si>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</si>
  <si>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</si>
  <si>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</si>
  <si>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</si>
  <si>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</si>
  <si>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</si>
  <si>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</si>
  <si>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</si>
  <si>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</si>
  <si>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</si>
  <si>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Субвенция на социальную поддержку отдельных категорий  граждан в части ежемесячной денежной выплаты реабилитированным гражданам</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</si>
  <si>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</si>
  <si>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</si>
  <si>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Подгруппы</t>
  </si>
  <si>
    <t>Статьи и   подстатьи</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</si>
  <si>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</si>
  <si>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</si>
  <si>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</si>
  <si>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Кредиты кредитных организаций в валюте Российской Федерации</t>
  </si>
  <si>
    <t>955 01 02 00 00 00 0000 700</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</si>
  <si>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</si>
  <si>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</si>
  <si>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</si>
  <si>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</si>
  <si>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</si>
  <si>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</si>
  <si>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</si>
  <si>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</si>
  <si>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</si>
  <si>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</si>
  <si>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</si>
  <si>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</si>
  <si>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</si>
  <si>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</si>
  <si>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02030</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</si>
  <si>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</si>
  <si>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</si>
  <si>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</si>
  <si>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</si>
  <si>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Плата за негативное воздействие на окружающую среду</t>
  </si>
  <si>
    <t>Штрафы, санкции, возмещение ущерба</t>
  </si>
  <si>
    <t>Субсидия на подготовку к зиме объектов коммунального назначения</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</si>
  <si>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</si>
  <si>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</si>
  <si>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</si>
  <si>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</si>
  <si>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</si>
  <si>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Экономической классификации</t>
  </si>
  <si>
    <t>000</t>
  </si>
  <si>
    <t>1</t>
  </si>
  <si>
    <t>00</t>
  </si>
  <si>
    <t>00000</t>
  </si>
  <si>
    <t>0000</t>
  </si>
  <si>
    <t>182</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</si>
  <si>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</si>
  <si>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</si>
  <si>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</si>
  <si>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</si>
  <si>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</si>
  <si>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Задолженность и перерасчеты по отмененным налогам, сборам и иным обязательным платежам</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</si>
  <si>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</si>
  <si>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</si>
  <si>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</si>
  <si>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</si>
  <si>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</si>
  <si>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</si>
  <si>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</si>
  <si>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</si>
  <si>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</si>
  <si>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</si>
  <si>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</si>
  <si>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</si>
  <si>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</si>
  <si>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</si>
  <si>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</si>
  <si>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</si>
  <si>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</si>
  <si>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</si>
  <si>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</si>
  <si>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</si>
  <si>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</si>
  <si>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</si>
  <si>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</si>
  <si>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</si>
  <si>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</si>
  <si>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</si>
  <si>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</si>
  <si>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</si>
  <si>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</si>
  <si>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</si>
  <si>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</si>
  <si>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</si>
  <si>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</si>
  <si>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</si>
  <si>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</si>
  <si>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</si>
  <si>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</si>
  <si>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</si>
  <si>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</si>
  <si>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</si>
  <si>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</si>
  <si>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</si>
  <si>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</si>
  <si>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</si>
  <si>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</si>
  <si>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</si>
  <si>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</si>
  <si>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</si>
  <si>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</si>
  <si>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</si>
  <si>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</si>
  <si>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</si>
  <si>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</si>
  <si>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</si>
  <si>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</si>
  <si>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</si>
  <si>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</si>
  <si>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</si>
  <si>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</si>
  <si>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</si>
  <si>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</si>
  <si>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</si>
  <si>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</si>
  <si>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</si>
  <si>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</si>
  <si>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</si>
  <si>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</si>
  <si>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</si>
  <si>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</si>
  <si>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</si>
  <si>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</si>
  <si>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</si>
  <si>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</si>
  <si>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</si>
  <si>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</si>
  <si>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</si>
  <si>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</si>
  <si>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</si>
  <si>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</si>
  <si>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</si>
  <si>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</si>
  <si>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</si>
  <si>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</si>
  <si>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</si>
  <si>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</si>
  <si>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</si>
  <si>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Единовременные денежные компенсации реабилитированным лицам</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</si>
  <si>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</si>
  <si>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</si>
  <si>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</si>
  <si>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</si>
  <si>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</si>
  <si>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</si>
  <si>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</si>
  <si>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</si>
  <si>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</si>
  <si>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</si>
  <si>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</si>
  <si>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</si>
  <si>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</si>
  <si>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</si>
  <si>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</si>
  <si>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</si>
  <si>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</si>
  <si>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</si>
  <si>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</si>
  <si>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</si>
  <si>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</si>
  <si>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</si>
  <si>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</si>
  <si>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</si>
  <si>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</si>
  <si>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</si>
  <si>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</si>
  <si>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</si>
  <si>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</si>
  <si>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</si>
  <si>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</si>
  <si>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</si>
  <si>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</si>
  <si>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</si>
  <si>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</si>
  <si>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</si>
  <si>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</si>
  <si>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</si>
  <si>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</si>
  <si>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</si>
  <si>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Субвенция на государственную поддержку опеки и попечительства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</si>
  <si>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</si>
  <si>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</si>
  <si>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</si>
  <si>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</si>
  <si>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</si>
  <si>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</si>
  <si>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</si>
  <si>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</si>
  <si>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</si>
  <si>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</si>
  <si>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</si>
  <si>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</si>
  <si>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</si>
  <si>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</si>
  <si>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</si>
  <si>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</si>
  <si>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</si>
  <si>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</si>
  <si>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Единый налог на вменённый доход для отдельных видов деятельности</t>
  </si>
  <si>
    <t>Создание Президентской библиотеки имени Б.Н. Ельцина</t>
  </si>
  <si>
    <t>Мобилизационная подготовка экономики</t>
  </si>
  <si>
    <t>Скорая медицинская помощь</t>
  </si>
  <si>
    <t>048</t>
  </si>
  <si>
    <t>Вещевое обеспечение</t>
  </si>
  <si>
    <t>Федеральная космическая программа России на 2006 - 2015 годы</t>
  </si>
  <si>
    <t>Государственная пошлина</t>
  </si>
  <si>
    <t>Название</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</si>
  <si>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</si>
  <si>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</si>
  <si>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</si>
  <si>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</si>
  <si>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</si>
  <si>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</si>
  <si>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</si>
  <si>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</si>
  <si>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</si>
  <si>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</si>
  <si>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</si>
  <si>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</si>
  <si>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</si>
  <si>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</si>
  <si>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</si>
  <si>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</si>
  <si>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</si>
  <si>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</si>
  <si>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</si>
  <si>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</si>
  <si>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</si>
  <si>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</si>
  <si>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</si>
  <si>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Межбюджетные трансферты на реализацию региональной программы "Социальная поддержка пожилых граждан в Ярославской области" в сфере социальной политики</t>
  </si>
  <si>
    <t>Субсидия на реализацию региональной программы "Социальная поддержка пожилых граждан в Ярославской области" в сфере молодёжной политики</t>
  </si>
  <si>
    <t>Учреждения, обеспечивающие государственный санитарно-эпидемиологический надзор</t>
  </si>
  <si>
    <t>2</t>
  </si>
  <si>
    <t>01</t>
  </si>
  <si>
    <t>05</t>
  </si>
  <si>
    <t>08</t>
  </si>
  <si>
    <t>11</t>
  </si>
  <si>
    <t>12</t>
  </si>
  <si>
    <t>14</t>
  </si>
  <si>
    <t>16</t>
  </si>
  <si>
    <t>02</t>
  </si>
  <si>
    <t>02000</t>
  </si>
  <si>
    <t>03000</t>
  </si>
  <si>
    <t>01000</t>
  </si>
  <si>
    <t>05000</t>
  </si>
  <si>
    <t>110</t>
  </si>
  <si>
    <t>120</t>
  </si>
  <si>
    <t>151</t>
  </si>
  <si>
    <t xml:space="preserve"> Российское авиационно-космическое агентство</t>
  </si>
  <si>
    <t>МЦП "Развитие жилищного строительства в ТМР ЯО на 2011 - 2015 гг"</t>
  </si>
  <si>
    <t>Прием и содержание вынужденных переселенцев</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</si>
  <si>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</si>
  <si>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</si>
  <si>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</si>
  <si>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Субвенция на оказание социальной помощи отдельным категориям  граждан</t>
  </si>
  <si>
    <t>Централизованные закупки в рамках национального календаря профилактических прививок</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</si>
  <si>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</si>
  <si>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</si>
  <si>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</si>
  <si>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</si>
  <si>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</si>
  <si>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</si>
  <si>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</si>
  <si>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</si>
  <si>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</si>
  <si>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07000</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</si>
  <si>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</si>
  <si>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</si>
  <si>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</si>
  <si>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</si>
  <si>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Безвозмездные поступления от других бюджетов бюджетной системы Российской Федерации</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</si>
  <si>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</si>
  <si>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</si>
  <si>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</si>
  <si>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Межбюджетные трансферты на обеспечение казначейской системы исполнения областного бюджета в муниципальных районах Ярославской области</t>
  </si>
  <si>
    <t>Меры по оказанию медицинской помощи гражданам Российской Федерации за рубежом</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</si>
  <si>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</si>
  <si>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</si>
  <si>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</si>
  <si>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</si>
  <si>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</si>
  <si>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</si>
  <si>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</si>
  <si>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</si>
  <si>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</si>
  <si>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Субвенции бюджетам субъектов Российской Федерации и муниципальных образований</t>
  </si>
  <si>
    <t>Иные межбюджетные трансферты</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</si>
  <si>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</si>
  <si>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</si>
  <si>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</si>
  <si>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</si>
  <si>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</si>
  <si>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Субсидия на реализацию областной целевой программы "Обеспечение доступности дошкольного образования в Ярославской области" в части проведения ремонтных работ</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</si>
  <si>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</si>
  <si>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</si>
  <si>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</si>
  <si>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</si>
  <si>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</si>
  <si>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</si>
  <si>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</si>
  <si>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</si>
  <si>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</si>
  <si>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Субвенция на денежные выплаты</t>
  </si>
  <si>
    <t>Президентская программа "Уничтожение запасов химического оружия в Российской Федерации"</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</si>
  <si>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</si>
  <si>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</si>
  <si>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</si>
  <si>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</si>
  <si>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</si>
  <si>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</si>
  <si>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</si>
  <si>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</si>
  <si>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</si>
  <si>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</si>
  <si>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</si>
  <si>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</si>
  <si>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</si>
  <si>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</si>
  <si>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</si>
  <si>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</si>
  <si>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</si>
  <si>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</si>
  <si>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</si>
  <si>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</si>
  <si>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</si>
  <si>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</si>
  <si>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</si>
  <si>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</si>
  <si>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</si>
  <si>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</si>
  <si>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Уменьшение прочих остатков денежных средств бюджета муниципального района</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</si>
  <si>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</si>
  <si>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</si>
  <si>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</si>
  <si>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</si>
  <si>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</si>
  <si>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952</t>
  </si>
  <si>
    <t>Дорожное хозяйство</t>
  </si>
  <si>
    <t>Рыболовное хозяйство</t>
  </si>
  <si>
    <t xml:space="preserve">Субсидия на реализацию подпрограммы "Семья и дети" областной целевой программы "Семья и дети Ярославии" </t>
  </si>
  <si>
    <t>Субсидия на реализацию подпрограммы "Ярославские каникулы" областной целевой программы "Семья и дети Ярославии" в части оздоровления и отдыха детей</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</si>
  <si>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</si>
  <si>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</si>
  <si>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</si>
  <si>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</si>
  <si>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</si>
  <si>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</si>
  <si>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</si>
  <si>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</si>
  <si>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</si>
  <si>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</si>
  <si>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</si>
  <si>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</si>
  <si>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</si>
  <si>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</si>
  <si>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</si>
  <si>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</si>
  <si>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</si>
  <si>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</si>
  <si>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</si>
  <si>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</si>
  <si>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</si>
  <si>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</si>
  <si>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</si>
  <si>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</si>
  <si>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</si>
  <si>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</si>
  <si>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</si>
  <si>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</si>
  <si>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</si>
  <si>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</si>
  <si>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</si>
  <si>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</si>
  <si>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</si>
  <si>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</si>
  <si>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</si>
  <si>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</si>
  <si>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</si>
  <si>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</si>
  <si>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</si>
  <si>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</si>
  <si>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</si>
  <si>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</si>
  <si>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</si>
  <si>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</si>
  <si>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</si>
  <si>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</si>
  <si>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</si>
  <si>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</si>
  <si>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</si>
  <si>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</si>
  <si>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</si>
  <si>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</si>
  <si>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</si>
  <si>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</si>
  <si>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</si>
  <si>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</si>
  <si>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</si>
  <si>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</si>
  <si>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</si>
  <si>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</si>
  <si>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</si>
  <si>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</si>
  <si>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</si>
  <si>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</si>
  <si>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</si>
  <si>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</si>
  <si>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</si>
  <si>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</si>
  <si>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</si>
  <si>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</si>
  <si>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</si>
  <si>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</si>
  <si>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</si>
  <si>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Субвенция на предоставление гражданам субсидий на оплату жилого помещения и коммунальных услуг</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</si>
  <si>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</si>
  <si>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</si>
  <si>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</si>
  <si>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</si>
  <si>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Доходы</t>
  </si>
  <si>
    <t>Налоги на прибыль, доходы</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</si>
  <si>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</si>
  <si>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</si>
  <si>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</si>
  <si>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</si>
  <si>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</si>
  <si>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</si>
  <si>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</si>
  <si>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</si>
  <si>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</si>
  <si>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</si>
  <si>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</si>
  <si>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</si>
  <si>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</si>
  <si>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</si>
  <si>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</si>
  <si>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</si>
  <si>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</si>
  <si>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</si>
  <si>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</si>
  <si>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</si>
  <si>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</si>
  <si>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</si>
  <si>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</si>
  <si>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</si>
  <si>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</si>
  <si>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</si>
  <si>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</si>
  <si>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</si>
  <si>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Межбюджетные трансферты  на комплектование книжных фондов библиотек муниципальных образований</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</si>
  <si>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</si>
  <si>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</si>
  <si>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</si>
  <si>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</si>
  <si>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</si>
  <si>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</si>
  <si>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Бюджетные кредиты, предоставленные внутри страны в валюте Российской Федерации</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</si>
  <si>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</si>
  <si>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</si>
  <si>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</si>
  <si>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</si>
  <si>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</si>
  <si>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</si>
  <si>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</si>
  <si>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</si>
  <si>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</si>
  <si>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</si>
  <si>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</si>
  <si>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</si>
  <si>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</si>
  <si>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</si>
  <si>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</si>
  <si>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</si>
  <si>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</si>
  <si>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компенсацию расходов на содержание ребенка в дошкольной образовательной организации</t>
  </si>
  <si>
    <t>Администрация Николо-Эдомской сельской территории</t>
  </si>
  <si>
    <t>Итого источников внутреннего финансирования</t>
  </si>
  <si>
    <t>Прочие мероприятия по благоустройству городских округов и поселений</t>
  </si>
  <si>
    <t>09</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</si>
  <si>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</si>
  <si>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</si>
  <si>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Субсидия на реализацию подпрограммы "Ярославские каникулы" областной целевой программы "Семья и дети Ярославии" в части оплаты стоимости наборов продуктов питания в лагерях с дневной формой пребывания детей, расположенных на территории Ярославской области</t>
  </si>
  <si>
    <t>Обслуживание внутреннего государственного и муниципального долга</t>
  </si>
  <si>
    <t xml:space="preserve"> Министерство иностранных дел Российской Федерации</t>
  </si>
  <si>
    <t>Доходы от выдачи патентов на осуществление предпринимательской деятельности при применении упрощенной системы налогообложения</t>
  </si>
  <si>
    <t>Совершенствование организации медицинской помощи пострадавшим при дорожно-транспортных происшествиях</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</si>
  <si>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</si>
  <si>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</si>
  <si>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</si>
  <si>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</si>
  <si>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</si>
  <si>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</si>
  <si>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</si>
  <si>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</si>
  <si>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</si>
  <si>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</si>
  <si>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</si>
  <si>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</si>
  <si>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</si>
  <si>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</si>
  <si>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</si>
  <si>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</si>
  <si>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</si>
  <si>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</si>
  <si>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</si>
  <si>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</si>
  <si>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</si>
  <si>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</si>
  <si>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</si>
  <si>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</si>
  <si>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</si>
  <si>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</si>
  <si>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</si>
  <si>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</si>
  <si>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</si>
  <si>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</si>
  <si>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</si>
  <si>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</si>
  <si>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</si>
  <si>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</si>
  <si>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</si>
  <si>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</si>
  <si>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</si>
  <si>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</si>
  <si>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 xml:space="preserve"> Российский фонд фундаментальных исследований</t>
  </si>
  <si>
    <t>МУ ИЦ "Берега"</t>
  </si>
  <si>
    <t>Возврат бюджетных кредитов, предоставленных юридическим лицам в валюте Российской Федерации</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</si>
  <si>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</si>
  <si>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</si>
  <si>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</si>
  <si>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</si>
  <si>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</si>
  <si>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</si>
  <si>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</si>
  <si>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</si>
  <si>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</si>
  <si>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955 01 06 00 00 00 0000 000</t>
  </si>
  <si>
    <t>955 01 06 05 01 00 0000 640</t>
  </si>
  <si>
    <t xml:space="preserve"> Представительство Правительства РФ в Чеченской республике</t>
  </si>
  <si>
    <t>Государственная пошлина за государственную регистрацию, а также за совершение прочих юридически значимых действий</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</si>
  <si>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</si>
  <si>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</si>
  <si>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</si>
  <si>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</si>
  <si>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</si>
  <si>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</si>
  <si>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</si>
  <si>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</si>
  <si>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</si>
  <si>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</si>
  <si>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</si>
  <si>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Погашение бюджетных кредитов, полученных от других бюджетов бюджетной системы Российской Федерации в валюте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</si>
  <si>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</si>
  <si>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</si>
  <si>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</si>
  <si>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</si>
  <si>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</si>
  <si>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</si>
  <si>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</si>
  <si>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</si>
  <si>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</si>
  <si>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</si>
  <si>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</si>
  <si>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</si>
  <si>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</si>
  <si>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</si>
  <si>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</si>
  <si>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</si>
  <si>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</si>
  <si>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</si>
  <si>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</si>
  <si>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</si>
  <si>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</si>
  <si>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</si>
  <si>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</si>
  <si>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</si>
  <si>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</si>
  <si>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</si>
  <si>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</si>
  <si>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</si>
  <si>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</si>
  <si>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</si>
  <si>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</si>
  <si>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</si>
  <si>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</si>
  <si>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</si>
  <si>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</si>
  <si>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Дотации бюджетам субъектов Российской Федерации и муниципальных образований</t>
  </si>
  <si>
    <t>Осуществление ежемесячной денежной выплаты инвалидам</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</si>
  <si>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</si>
  <si>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</si>
  <si>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</si>
  <si>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</si>
  <si>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</si>
  <si>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</si>
  <si>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</si>
  <si>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</si>
  <si>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</si>
  <si>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</si>
  <si>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</si>
  <si>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</si>
  <si>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</si>
  <si>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Единый сельскохозяйственный налог</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</si>
  <si>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</si>
  <si>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</si>
  <si>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</si>
  <si>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Чебаковское сельское поселение</t>
  </si>
  <si>
    <t>Левобережное сельское поселение</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</si>
  <si>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</si>
  <si>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</si>
  <si>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</si>
  <si>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</si>
  <si>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</si>
  <si>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</si>
  <si>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</si>
  <si>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</si>
  <si>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</si>
  <si>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</si>
  <si>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</si>
  <si>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Субсидия на реализацию мероприятий по патриотическому воспитанию молодежи Ярославской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</si>
  <si>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</si>
  <si>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</si>
  <si>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</si>
  <si>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</si>
  <si>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</si>
  <si>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 xml:space="preserve">Регулярные   платежи   за    пользование                             недрами    при    пользовании    недрами                             (ренталс)   на   территории   Российской                             Федерации
</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</si>
  <si>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</si>
  <si>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</si>
  <si>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</si>
  <si>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</si>
  <si>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</si>
  <si>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</si>
  <si>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</si>
  <si>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</si>
  <si>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</si>
  <si>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</si>
  <si>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</si>
  <si>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</si>
  <si>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</si>
  <si>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01040</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</si>
  <si>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</si>
  <si>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</si>
  <si>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</si>
  <si>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</si>
  <si>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</si>
  <si>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</si>
  <si>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Субвенция на оплату жилого помещения и коммунальных услуг отдельным категориям граждан в соответствии с федеральным законодательством</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</si>
  <si>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</si>
  <si>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</si>
  <si>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</si>
  <si>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</si>
  <si>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</si>
  <si>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</si>
  <si>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</si>
  <si>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</si>
  <si>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</si>
  <si>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</si>
  <si>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</si>
  <si>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</si>
  <si>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</si>
  <si>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</si>
  <si>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</si>
  <si>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</si>
  <si>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</si>
  <si>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</si>
  <si>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</si>
  <si>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</si>
  <si>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</si>
  <si>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</si>
  <si>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</si>
  <si>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</si>
  <si>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</si>
  <si>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</si>
  <si>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</si>
  <si>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</si>
  <si>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</si>
  <si>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</si>
  <si>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</si>
  <si>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</si>
  <si>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</si>
  <si>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</si>
  <si>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06000</t>
  </si>
  <si>
    <t>Субсидия на финансирование дорожного хозяйства</t>
  </si>
  <si>
    <t>Прочие выплаты по обязательствам государства</t>
  </si>
  <si>
    <t>Субвенция на обеспечение  бесплатным питанием обучающихся муниципальных общеобразовательных учреждений</t>
  </si>
  <si>
    <t>Субвенция на обеспечение профилактики безнадзорности, правонарушений несовершеннолетних и защиты их прав</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</si>
  <si>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</si>
  <si>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</si>
  <si>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</si>
  <si>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</si>
  <si>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</si>
  <si>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</si>
  <si>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</si>
  <si>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</si>
  <si>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</si>
  <si>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</si>
  <si>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</si>
  <si>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955 01 05 02 01 05 0000 610</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</si>
  <si>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</si>
  <si>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</si>
  <si>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</si>
  <si>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</si>
  <si>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</si>
  <si>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</si>
  <si>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</si>
  <si>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</si>
  <si>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</si>
  <si>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</si>
  <si>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</si>
  <si>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</si>
  <si>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Изменение остатков средств на счетах по учету средств бюджета</t>
  </si>
  <si>
    <t>955 01 05 02 01 05 0000 510</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</si>
  <si>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</si>
  <si>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</si>
  <si>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</si>
  <si>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</si>
  <si>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</si>
  <si>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</si>
  <si>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</si>
  <si>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</si>
  <si>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</si>
  <si>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</si>
  <si>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</si>
  <si>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</si>
  <si>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</si>
  <si>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</si>
  <si>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</si>
  <si>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</si>
  <si>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</si>
  <si>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</si>
  <si>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</si>
  <si>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</si>
  <si>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</si>
  <si>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</si>
  <si>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</si>
  <si>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</si>
  <si>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</si>
  <si>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</si>
  <si>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</si>
  <si>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</si>
  <si>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</si>
  <si>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</si>
  <si>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</si>
  <si>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</si>
  <si>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</si>
  <si>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</si>
  <si>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</si>
  <si>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</si>
  <si>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</si>
  <si>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</si>
  <si>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</si>
  <si>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955 01 02 00 00 05 0000 810</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</si>
  <si>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</si>
  <si>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</si>
  <si>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</si>
  <si>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</si>
  <si>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</si>
  <si>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</si>
  <si>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</si>
  <si>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</si>
  <si>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</si>
  <si>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</si>
  <si>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</si>
  <si>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</si>
  <si>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</si>
  <si>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</si>
  <si>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</si>
  <si>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</si>
  <si>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</si>
  <si>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</si>
  <si>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</si>
  <si>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</si>
  <si>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Департамент ЖКХ и строительства Администрации ТМР</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</si>
  <si>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</si>
  <si>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Доходы от использования имущества, находящегося в государственной и муниципальной собственности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</si>
  <si>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</si>
  <si>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</si>
  <si>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</si>
  <si>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</si>
  <si>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</si>
  <si>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</si>
  <si>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01001</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</si>
  <si>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</si>
  <si>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</si>
  <si>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</si>
  <si>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</si>
  <si>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</si>
  <si>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</si>
  <si>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</si>
  <si>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</si>
  <si>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</si>
  <si>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</si>
  <si>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</si>
  <si>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</si>
  <si>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</si>
  <si>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</si>
  <si>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</si>
  <si>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</si>
  <si>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</si>
  <si>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</si>
  <si>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</si>
  <si>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</si>
  <si>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</si>
  <si>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</si>
  <si>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</si>
  <si>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</si>
  <si>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</si>
  <si>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</si>
  <si>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</si>
  <si>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</si>
  <si>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</si>
  <si>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</si>
  <si>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</si>
  <si>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</si>
  <si>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</si>
  <si>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</si>
  <si>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</si>
  <si>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</si>
  <si>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</si>
  <si>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</si>
  <si>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</si>
  <si>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</si>
  <si>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</si>
  <si>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</si>
  <si>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</si>
  <si>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</si>
  <si>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</si>
  <si>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</si>
  <si>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</si>
  <si>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</si>
  <si>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</si>
  <si>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955 01 02 00 00 00 0000 000</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</si>
  <si>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</si>
  <si>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</si>
  <si>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</si>
  <si>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</si>
  <si>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</si>
  <si>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</si>
  <si>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</si>
  <si>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</si>
  <si>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</si>
  <si>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</si>
  <si>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</si>
  <si>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</si>
  <si>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</si>
  <si>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</si>
  <si>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</si>
  <si>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</si>
  <si>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</si>
  <si>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</si>
  <si>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</si>
  <si>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</si>
  <si>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</si>
  <si>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</si>
  <si>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</si>
  <si>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</si>
  <si>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</si>
  <si>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</si>
  <si>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Налоги на совокупный доход</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</si>
  <si>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</si>
  <si>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</si>
  <si>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</si>
  <si>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</si>
  <si>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</si>
  <si>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</si>
  <si>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</si>
  <si>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</si>
  <si>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</si>
  <si>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</si>
  <si>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</si>
  <si>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</si>
  <si>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</si>
  <si>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</si>
  <si>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</si>
  <si>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</si>
  <si>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Подпрограмма "Промышленная утилизация ядерных боеприпасов на 2011 - 2015 годы и на период до 2020 года"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</si>
  <si>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</si>
  <si>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</si>
  <si>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</si>
  <si>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</si>
  <si>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</si>
  <si>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</si>
  <si>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</si>
  <si>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</si>
  <si>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</si>
  <si>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</si>
  <si>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</si>
  <si>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</si>
  <si>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</si>
  <si>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</si>
  <si>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</si>
  <si>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</si>
  <si>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</si>
  <si>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</si>
  <si>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</si>
  <si>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</si>
  <si>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</si>
  <si>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</si>
  <si>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</si>
  <si>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</si>
  <si>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</si>
  <si>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</si>
  <si>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</si>
  <si>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</si>
  <si>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Элемента</t>
  </si>
  <si>
    <t>Программы</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</si>
  <si>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</si>
  <si>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</si>
  <si>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</si>
  <si>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</si>
  <si>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</si>
  <si>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</si>
  <si>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</si>
  <si>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</si>
  <si>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</si>
  <si>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</si>
  <si>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</si>
  <si>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</si>
  <si>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</si>
  <si>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</si>
  <si>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</si>
  <si>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Название дохода</t>
  </si>
  <si>
    <t>Код</t>
  </si>
  <si>
    <t>Наименование</t>
  </si>
  <si>
    <t>04000</t>
  </si>
  <si>
    <t>Российская антарктическая и арктическая экспедиции</t>
  </si>
  <si>
    <t>Учреждения, обеспечивающие предоставление услуг в сфере гидрометеорологии и мониторинга окружающей среды</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</si>
  <si>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</si>
  <si>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</si>
  <si>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</si>
  <si>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</si>
  <si>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</si>
  <si>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</si>
  <si>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</si>
  <si>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</si>
  <si>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</si>
  <si>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</si>
  <si>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</si>
  <si>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</si>
  <si>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</si>
  <si>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</si>
  <si>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</si>
  <si>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</si>
  <si>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</si>
  <si>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</si>
  <si>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</si>
  <si>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</si>
  <si>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</si>
  <si>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</si>
  <si>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</si>
  <si>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</si>
  <si>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</si>
  <si>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</si>
  <si>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</si>
  <si>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</si>
  <si>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</si>
  <si>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</si>
  <si>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</si>
  <si>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</si>
  <si>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</si>
  <si>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</si>
  <si>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развития сельского хозяйства в ТМР на 2008 - 2012 гг.</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</si>
  <si>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</si>
  <si>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</si>
  <si>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</si>
  <si>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</si>
  <si>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</si>
  <si>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</si>
  <si>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</si>
  <si>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</si>
  <si>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</si>
  <si>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</si>
  <si>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</si>
  <si>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</si>
  <si>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</si>
  <si>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</si>
  <si>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</si>
  <si>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</si>
  <si>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</si>
  <si>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</si>
  <si>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</si>
  <si>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</si>
  <si>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</si>
  <si>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</si>
  <si>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</si>
  <si>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Увеличение прочих остатков денежных средств бюджета муниципального района</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</si>
  <si>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</si>
  <si>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</si>
  <si>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</si>
  <si>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</si>
  <si>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</si>
  <si>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</si>
  <si>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</si>
  <si>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</si>
  <si>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</si>
  <si>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</si>
  <si>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</si>
  <si>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17</t>
  </si>
  <si>
    <t>Прочие неналоговые доходы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</si>
  <si>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</si>
  <si>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</si>
  <si>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</si>
  <si>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</si>
  <si>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Субвенция на осуществление первичного воинского учета на территориях, где отсутствуют военные комиссариаты</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</si>
  <si>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</si>
  <si>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</si>
  <si>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</si>
  <si>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</si>
  <si>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</si>
  <si>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</si>
  <si>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</si>
  <si>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</si>
  <si>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</si>
  <si>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</si>
  <si>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</si>
  <si>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</si>
  <si>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</si>
  <si>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01050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</si>
  <si>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</si>
  <si>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</si>
  <si>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</si>
  <si>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</si>
  <si>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ПРОФИЦИТ/ДЕФИЦИТ</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</si>
  <si>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</si>
  <si>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</si>
  <si>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</si>
  <si>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</si>
  <si>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</si>
  <si>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</si>
  <si>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Платежи при пользовании природными ресурсами</t>
  </si>
  <si>
    <t>Субвенция на обеспечение деятельности   органов опеки и попечительства</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</si>
  <si>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</si>
  <si>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и труженикам тыла</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</si>
  <si>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</si>
  <si>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</si>
  <si>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</si>
  <si>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</si>
  <si>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</si>
  <si>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</si>
  <si>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</si>
  <si>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</si>
  <si>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</si>
  <si>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</si>
  <si>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</si>
  <si>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</si>
  <si>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</si>
  <si>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</si>
  <si>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</si>
  <si>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</si>
  <si>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</si>
  <si>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</si>
  <si>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</si>
  <si>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</si>
  <si>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</si>
  <si>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</si>
  <si>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</si>
  <si>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</si>
  <si>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</si>
  <si>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955 01 06 05 01 05 0000 640</t>
  </si>
  <si>
    <t>Субсидии творческим союзам</t>
  </si>
  <si>
    <t>Федеральная служба статистики</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</si>
  <si>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</si>
  <si>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</si>
  <si>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</si>
  <si>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</si>
  <si>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</si>
  <si>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</si>
  <si>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</si>
  <si>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</si>
  <si>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</si>
  <si>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</si>
  <si>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955</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</si>
  <si>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</si>
  <si>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</si>
  <si>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</si>
  <si>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</si>
  <si>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</si>
  <si>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</si>
  <si>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</si>
  <si>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</si>
  <si>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</si>
  <si>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</si>
  <si>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</si>
  <si>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</si>
  <si>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</si>
  <si>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</si>
  <si>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</si>
  <si>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</si>
  <si>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</si>
  <si>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</si>
  <si>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</si>
  <si>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Предоставление субсидий федеральным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</si>
  <si>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</si>
  <si>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</si>
  <si>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</si>
  <si>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</si>
  <si>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</si>
  <si>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</si>
  <si>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Обслуживание государственного долга Российской Федерации</t>
  </si>
  <si>
    <t>Иные бюджетные ассигнования</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</si>
  <si>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</si>
  <si>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</si>
  <si>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</si>
  <si>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</si>
  <si>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</si>
  <si>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</si>
  <si>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</si>
  <si>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</si>
  <si>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</si>
  <si>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</si>
  <si>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</si>
  <si>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</si>
  <si>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</si>
  <si>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</si>
  <si>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</si>
  <si>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Субвенция на освобождение от оплаты стоимости  проезда на транспорте детей из многодетных семей, обучающихся в общеобразовательных учреждениях</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</si>
  <si>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</si>
  <si>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</si>
  <si>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</si>
  <si>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</si>
  <si>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</si>
  <si>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</si>
  <si>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</si>
  <si>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</si>
  <si>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</si>
  <si>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</si>
  <si>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</si>
  <si>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Департамент труда и социального развития Администрации ТМР</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</si>
  <si>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</si>
  <si>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</si>
  <si>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</si>
  <si>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</si>
  <si>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</si>
  <si>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</si>
  <si>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</si>
  <si>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</si>
  <si>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</si>
  <si>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</si>
  <si>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</si>
  <si>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</si>
  <si>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</si>
  <si>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</si>
  <si>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</si>
  <si>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</si>
  <si>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</si>
  <si>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</si>
  <si>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</si>
  <si>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</si>
  <si>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</si>
  <si>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</si>
  <si>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</si>
  <si>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</si>
  <si>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</si>
  <si>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</si>
  <si>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</si>
  <si>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</si>
  <si>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</si>
  <si>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Субсидия на реализацию областной целевой программы "Комплексные меры противодействия злоупотреблению наркотиками и их незаконному обороту"</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</si>
  <si>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</si>
  <si>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</si>
  <si>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</si>
  <si>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</si>
  <si>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</si>
  <si>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</si>
  <si>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</si>
  <si>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Департамент культуры, туризма  и молодежной политики Администрации ТМР</t>
  </si>
  <si>
    <t>Проведение выборов и референдумов</t>
  </si>
  <si>
    <t>Государственная пошлина по делам, рассматриваемым в судах общей юрисдикции, мировыми судьями</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</si>
  <si>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</si>
  <si>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</si>
  <si>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</si>
  <si>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</si>
  <si>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</si>
  <si>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</si>
  <si>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</si>
  <si>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</si>
  <si>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</si>
  <si>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</si>
  <si>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</si>
  <si>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</si>
  <si>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</si>
  <si>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</si>
  <si>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</si>
  <si>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</si>
  <si>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от "___"____________ 20___ г.№ ______</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</si>
  <si>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</si>
  <si>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</si>
  <si>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</si>
  <si>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</si>
  <si>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</si>
  <si>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</si>
  <si>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</si>
  <si>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</si>
  <si>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</si>
  <si>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</si>
  <si>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</si>
  <si>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</si>
  <si>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</si>
  <si>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</si>
  <si>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</si>
  <si>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</si>
  <si>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</si>
  <si>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</si>
  <si>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</si>
  <si>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</si>
  <si>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</si>
  <si>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</si>
  <si>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</si>
  <si>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</si>
  <si>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</si>
  <si>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</si>
  <si>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</si>
  <si>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</si>
  <si>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</si>
  <si>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</si>
  <si>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</si>
  <si>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</si>
  <si>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Код бюджетной классификации РФ</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</si>
  <si>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</si>
  <si>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</si>
  <si>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</si>
  <si>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</si>
  <si>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</si>
  <si>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</si>
  <si>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</si>
  <si>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</si>
  <si>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</si>
  <si>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</si>
  <si>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</si>
  <si>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</si>
  <si>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</si>
  <si>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</si>
  <si>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</si>
  <si>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</si>
  <si>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</si>
  <si>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 xml:space="preserve">Погашение кредитов, предоставленных кредитными организациями в валюте Российской Федерации </t>
  </si>
  <si>
    <t>955 01 02 00 00 00 0000 800</t>
  </si>
  <si>
    <t>955 01 05 00 00 00 0000 000</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</si>
  <si>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</si>
  <si>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</si>
  <si>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</si>
  <si>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</si>
  <si>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</si>
  <si>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</si>
  <si>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</si>
  <si>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</si>
  <si>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</si>
  <si>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</si>
  <si>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</si>
  <si>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</si>
  <si>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</si>
  <si>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</si>
  <si>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</si>
  <si>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</si>
  <si>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</si>
  <si>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</si>
  <si>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</si>
  <si>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</si>
  <si>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</si>
  <si>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</si>
  <si>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</si>
  <si>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</si>
  <si>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</si>
  <si>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</si>
  <si>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</si>
  <si>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</si>
  <si>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</si>
  <si>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</si>
  <si>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</si>
  <si>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</si>
  <si>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</si>
  <si>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</si>
  <si>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</si>
  <si>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</si>
  <si>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</si>
  <si>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</si>
  <si>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</si>
  <si>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</si>
  <si>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</si>
  <si>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</si>
  <si>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</si>
  <si>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</si>
  <si>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</si>
  <si>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</si>
  <si>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</si>
  <si>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</si>
  <si>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</si>
  <si>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</si>
  <si>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</si>
  <si>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</si>
  <si>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</si>
  <si>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</si>
  <si>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</si>
  <si>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</si>
  <si>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'Молодежь России (2001 – 2005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</si>
  <si>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</si>
  <si>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Главный расп., расп.</t>
  </si>
  <si>
    <t>Реализация других функций, связанных с обеспечением национальной безопасности и правоохранительной деятельности</t>
  </si>
  <si>
    <t>Артемьевское сельское поселение</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</si>
  <si>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</si>
  <si>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</si>
  <si>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</si>
  <si>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</si>
  <si>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</si>
  <si>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</si>
  <si>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</si>
  <si>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</si>
  <si>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Получение кредитов от кредитных организаций в валюте Российской Федерации</t>
  </si>
  <si>
    <t>955 01 02 00 00 05 0000 710</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</si>
  <si>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</si>
  <si>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</si>
  <si>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</si>
  <si>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</si>
  <si>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</si>
  <si>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</si>
  <si>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</si>
  <si>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</si>
  <si>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</si>
  <si>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</si>
  <si>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</si>
  <si>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</si>
  <si>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</si>
  <si>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</si>
  <si>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</si>
  <si>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</si>
  <si>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</si>
  <si>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430</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</si>
  <si>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</si>
  <si>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</si>
  <si>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</si>
  <si>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</si>
  <si>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</si>
  <si>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</si>
  <si>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 xml:space="preserve">Субвенция на выплаты медицинским работникам, осуществляющим медицинское обслуживание обучающихся и воспитанников муниципальных образовательных учреждений </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</si>
  <si>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</si>
  <si>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</si>
  <si>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</si>
  <si>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</si>
  <si>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</si>
  <si>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</si>
  <si>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</si>
  <si>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</si>
  <si>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</si>
  <si>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</si>
  <si>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</si>
  <si>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</si>
  <si>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</si>
  <si>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</si>
  <si>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</si>
  <si>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</si>
  <si>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</si>
  <si>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</si>
  <si>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</si>
  <si>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</si>
  <si>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</si>
  <si>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</si>
  <si>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</si>
  <si>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</si>
  <si>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</si>
  <si>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</si>
  <si>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</si>
  <si>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Субвенция на организацию образовательного процесса в образовательных учреждениях</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</si>
  <si>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</si>
  <si>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</si>
  <si>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</si>
  <si>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</si>
  <si>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</si>
  <si>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</si>
  <si>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</si>
  <si>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</si>
  <si>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</si>
  <si>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</si>
  <si>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</si>
  <si>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</si>
  <si>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</si>
  <si>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</si>
  <si>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</si>
  <si>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</si>
  <si>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</si>
  <si>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</si>
  <si>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</si>
  <si>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</si>
  <si>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</si>
  <si>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</si>
  <si>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</si>
  <si>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</si>
  <si>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</si>
  <si>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</si>
  <si>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</si>
  <si>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</si>
  <si>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</si>
  <si>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</si>
  <si>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</si>
  <si>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</si>
  <si>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</si>
  <si>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Субвенция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</si>
  <si>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Субвенция на предоставление мер социальной поддержки для лиц, награжденных знаком "Почетный донор России" ("Почетный донор СССР"), в части осуществления ежегодной денежной выплаты</t>
  </si>
  <si>
    <t>Субвенция на реализацию отдельных полномочий в сфере законодательства об административных правонарушениях</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</si>
  <si>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</si>
  <si>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</si>
  <si>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</si>
  <si>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</si>
  <si>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</si>
  <si>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</si>
  <si>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</si>
  <si>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</si>
  <si>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</si>
  <si>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</si>
  <si>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</si>
  <si>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</si>
  <si>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</si>
  <si>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</si>
  <si>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</si>
  <si>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Федеральная целевая программа "Экономическое и социальное развитие коренных малочисленных народов Севера до 2011 года"</t>
  </si>
  <si>
    <t>Функ. кл.</t>
  </si>
  <si>
    <t>Целев. ст.</t>
  </si>
  <si>
    <t>Вид. расх.</t>
  </si>
  <si>
    <t>Физкультурно-оздоровительная работа и спортивные мероприятия</t>
  </si>
  <si>
    <t>Музеи и постоянные выставки</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</si>
  <si>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</si>
  <si>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Налог на доходы физических лиц</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</si>
  <si>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</si>
  <si>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</si>
  <si>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Доходы от продажи материальных и нематериальных активов</t>
  </si>
  <si>
    <t>Прикладные научные исследования в области общегосударственных вопросов</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</si>
  <si>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</si>
  <si>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</si>
  <si>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</si>
  <si>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Получение кредитов от кредитных организаций бюджетом муниципального района в валюте Российской Федерации</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</si>
  <si>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</si>
  <si>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</si>
  <si>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</si>
  <si>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</si>
  <si>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</si>
  <si>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</si>
  <si>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</si>
  <si>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Субвенция на выплату единовременного пособия при всех формах устройства детей, лишенных родительского попечения, в семью</t>
  </si>
  <si>
    <t>Содержание объектов инфраструктуры города Байконура, связанных с арендой космодрома Байконур</t>
  </si>
  <si>
    <t>Возврат бюджетных кредитов, предоставленных юридическим лицам из бюджетов муниципальных районов в валюте Российской Федерации</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</si>
  <si>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</si>
  <si>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</si>
  <si>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</si>
  <si>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</si>
  <si>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</si>
  <si>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</si>
  <si>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</si>
  <si>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</si>
  <si>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</si>
  <si>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</si>
  <si>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</si>
  <si>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</si>
  <si>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</si>
  <si>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</si>
  <si>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</si>
  <si>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ОЦП "Развитие МТБ учреждений культуры ЯО"</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</si>
  <si>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</si>
  <si>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</si>
  <si>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</si>
  <si>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</si>
  <si>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</si>
  <si>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</si>
  <si>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</si>
  <si>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</si>
  <si>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</si>
  <si>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</si>
  <si>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</si>
  <si>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</si>
  <si>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</si>
  <si>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</si>
  <si>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</si>
  <si>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</si>
  <si>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Субсидия на реализацию региональной программы "Социальная поддержка пожилых граждан в Ярославской области" в сфере культуры</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</si>
  <si>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</si>
  <si>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</si>
  <si>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</si>
  <si>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</si>
  <si>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</si>
  <si>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</si>
  <si>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</si>
  <si>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</si>
  <si>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</si>
  <si>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</si>
  <si>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</si>
  <si>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</si>
  <si>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</si>
  <si>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</si>
  <si>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</si>
  <si>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</si>
  <si>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</si>
  <si>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</si>
  <si>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</si>
  <si>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</si>
  <si>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</si>
  <si>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</si>
  <si>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</si>
  <si>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</si>
  <si>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</si>
  <si>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</si>
  <si>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</si>
  <si>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</si>
  <si>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Субвенция на  государственную регистрацию актов гражданского состояния</t>
  </si>
  <si>
    <t>Министерство торговли области</t>
  </si>
  <si>
    <t>Государственная инспекция по маломерным судам области</t>
  </si>
  <si>
    <t>10-я редакция</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</si>
  <si>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</si>
  <si>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</si>
  <si>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</si>
  <si>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Погашение бюджетом муниципального района кредитов от кредитных организаций в валюте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</si>
  <si>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</si>
  <si>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</si>
  <si>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</si>
  <si>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</si>
  <si>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</si>
  <si>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</si>
  <si>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</si>
  <si>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</si>
  <si>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</si>
  <si>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</si>
  <si>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</si>
  <si>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Субвенция на обеспечение деятельности органов местного самоуправления в сфере социальной защиты населения</t>
  </si>
  <si>
    <t>Субвенция на содержание ребенка в семье опекуна и приемной семье, а также вознаграждение, причитающееся приемному родителю</t>
  </si>
  <si>
    <t>Мероприятия по профилактике ВИЧ-инфекции, гепатитов В, С</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</si>
  <si>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</si>
  <si>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</si>
  <si>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</si>
  <si>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 xml:space="preserve">Областная целевая программа "Социальное развитие села до 2012 года" </t>
  </si>
  <si>
    <t>Наименование поселения</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</si>
  <si>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</si>
  <si>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</si>
  <si>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</si>
  <si>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</si>
  <si>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</si>
  <si>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</si>
  <si>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</si>
  <si>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</si>
  <si>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</si>
  <si>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</si>
  <si>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</si>
  <si>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</si>
  <si>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</si>
  <si>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</si>
  <si>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</si>
  <si>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</si>
  <si>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</si>
  <si>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</si>
  <si>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</si>
  <si>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</si>
  <si>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</si>
  <si>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</si>
  <si>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Покрытие дефицита бюджета Фонда социального страхования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</si>
  <si>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</si>
  <si>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</si>
  <si>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</si>
  <si>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</si>
  <si>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</si>
  <si>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</si>
  <si>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Субсидия на реализацию подпрограммы "Ярославские каникулы" областной целевой программы "Семья и дети Ярославии" в части компенсации стоимости санаторно-курортной путевки лицам, нуждающимся в санаторно-курортном лечении</t>
  </si>
  <si>
    <t>Обеспечение мероприятий по реформированию  государственной и муниципальной службы</t>
  </si>
  <si>
    <t>Подпрограмма "ВИЧ-инфекция"</t>
  </si>
  <si>
    <t>Поддержка дорожного хозяйства</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</si>
  <si>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</si>
  <si>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</si>
  <si>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</si>
  <si>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</si>
  <si>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</si>
  <si>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</si>
  <si>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</si>
  <si>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</si>
  <si>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</si>
  <si>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</si>
  <si>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</si>
  <si>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</si>
  <si>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</si>
  <si>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</si>
  <si>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</si>
  <si>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Субсидия на реализацию подпрограммы "Ярославские каникулы" областной целевой программы "Семья и дети Ярославии" в части организации профильных лагерей</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</si>
  <si>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</si>
  <si>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</si>
  <si>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</si>
  <si>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</si>
  <si>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</si>
  <si>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</si>
  <si>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</si>
  <si>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</si>
  <si>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</si>
  <si>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</si>
  <si>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</si>
  <si>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</si>
  <si>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</si>
  <si>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</si>
  <si>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</si>
  <si>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</si>
  <si>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</si>
  <si>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</si>
  <si>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</si>
  <si>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</si>
  <si>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</si>
  <si>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</si>
  <si>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</si>
  <si>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</si>
  <si>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</si>
  <si>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</si>
  <si>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</si>
  <si>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</si>
  <si>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</si>
  <si>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</si>
  <si>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</si>
  <si>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</si>
  <si>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</si>
  <si>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</si>
  <si>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</si>
  <si>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</si>
  <si>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</si>
  <si>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</si>
  <si>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</si>
  <si>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</si>
  <si>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</si>
  <si>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</si>
  <si>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</si>
  <si>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</si>
  <si>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</si>
  <si>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</si>
  <si>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</si>
  <si>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</si>
  <si>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</si>
  <si>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</si>
  <si>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</si>
  <si>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</si>
  <si>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</si>
  <si>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</si>
  <si>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</si>
  <si>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</si>
  <si>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</si>
  <si>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</si>
  <si>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</si>
  <si>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</si>
  <si>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</si>
  <si>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</si>
  <si>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</si>
  <si>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</si>
  <si>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</si>
  <si>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</si>
  <si>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</si>
  <si>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</si>
  <si>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</si>
  <si>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</si>
  <si>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</si>
  <si>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</si>
  <si>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</si>
  <si>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</si>
  <si>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</si>
  <si>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</si>
  <si>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</si>
  <si>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</si>
  <si>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</si>
  <si>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</si>
  <si>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</si>
  <si>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</si>
  <si>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</si>
  <si>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</si>
  <si>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</si>
  <si>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Обеспечение мероприятий по празднованию Победы советского народа в Великой Отечественной войне 1941-1945 годов</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</si>
  <si>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</si>
  <si>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</si>
  <si>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</si>
  <si>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</si>
  <si>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</si>
  <si>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</si>
  <si>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</si>
  <si>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</si>
  <si>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</si>
  <si>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</si>
  <si>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</si>
  <si>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</si>
  <si>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</si>
  <si>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</si>
  <si>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</si>
  <si>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</si>
  <si>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</si>
  <si>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</si>
  <si>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</si>
  <si>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</si>
  <si>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</si>
  <si>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</si>
  <si>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</si>
  <si>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</si>
  <si>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</si>
  <si>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</si>
  <si>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</si>
  <si>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</si>
  <si>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</si>
  <si>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</si>
  <si>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</si>
  <si>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Бюджетные кредиты от других бюджетов бюджетной системы Российской Федерации</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</si>
  <si>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</si>
  <si>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</si>
  <si>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</si>
  <si>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</si>
  <si>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</si>
  <si>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</si>
  <si>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</si>
  <si>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</si>
  <si>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</si>
  <si>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</si>
  <si>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</si>
  <si>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</si>
  <si>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</si>
  <si>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</si>
  <si>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</si>
  <si>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</si>
  <si>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</si>
  <si>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</si>
  <si>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</si>
  <si>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</si>
  <si>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</si>
  <si>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</si>
  <si>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</si>
  <si>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</si>
  <si>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</si>
  <si>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</si>
  <si>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</si>
  <si>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</si>
  <si>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</si>
  <si>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</si>
  <si>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</si>
  <si>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</si>
  <si>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</si>
  <si>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</si>
  <si>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</si>
  <si>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</si>
  <si>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</si>
  <si>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</si>
  <si>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</si>
  <si>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</si>
  <si>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</si>
  <si>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</si>
  <si>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</si>
  <si>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</si>
  <si>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</si>
  <si>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</si>
  <si>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</si>
  <si>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</si>
  <si>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</si>
  <si>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</si>
  <si>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</si>
  <si>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</si>
  <si>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</si>
  <si>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</si>
  <si>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</si>
  <si>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</si>
  <si>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</si>
  <si>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</si>
  <si>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</si>
  <si>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</si>
  <si>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</si>
  <si>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</si>
  <si>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</si>
  <si>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</si>
  <si>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</si>
  <si>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</si>
  <si>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</si>
  <si>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</si>
  <si>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</si>
  <si>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</si>
  <si>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</si>
  <si>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</si>
  <si>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</si>
  <si>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</si>
  <si>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</si>
  <si>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</si>
  <si>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</si>
  <si>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</si>
  <si>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</si>
  <si>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</si>
  <si>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</si>
  <si>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</si>
  <si>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</si>
  <si>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</si>
  <si>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</si>
  <si>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</si>
  <si>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</si>
  <si>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</si>
  <si>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</si>
  <si>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</si>
  <si>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</si>
  <si>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</si>
  <si>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</si>
  <si>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</si>
  <si>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</si>
  <si>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</si>
  <si>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</si>
  <si>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</si>
  <si>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</si>
  <si>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</si>
  <si>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</si>
  <si>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</si>
  <si>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</si>
  <si>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</si>
  <si>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</si>
  <si>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</si>
  <si>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</si>
  <si>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</si>
  <si>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</si>
  <si>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</si>
  <si>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</si>
  <si>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</si>
  <si>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</si>
  <si>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</si>
  <si>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</si>
  <si>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</si>
  <si>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</si>
  <si>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</si>
  <si>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Безвозмездные поступления</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</si>
  <si>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</si>
  <si>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</si>
  <si>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</si>
  <si>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</si>
  <si>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</si>
  <si>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</si>
  <si>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</si>
  <si>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</si>
  <si>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</si>
  <si>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</si>
  <si>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</si>
  <si>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</si>
  <si>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</si>
  <si>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</si>
  <si>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</si>
  <si>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</si>
  <si>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</si>
  <si>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</si>
  <si>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</si>
  <si>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</si>
  <si>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</si>
  <si>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</si>
  <si>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</si>
  <si>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</si>
  <si>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</si>
  <si>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</si>
  <si>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</si>
  <si>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</si>
  <si>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</si>
  <si>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</si>
  <si>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</si>
  <si>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</si>
  <si>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</si>
  <si>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</si>
  <si>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</si>
  <si>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</si>
  <si>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</si>
  <si>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</si>
  <si>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</si>
  <si>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</si>
  <si>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</si>
  <si>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</si>
  <si>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</si>
  <si>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</si>
  <si>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</si>
  <si>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</si>
  <si>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</si>
  <si>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</si>
  <si>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</si>
  <si>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</si>
  <si>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</si>
  <si>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</si>
  <si>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</si>
  <si>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</si>
  <si>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</si>
  <si>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</si>
  <si>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</si>
  <si>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</si>
  <si>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</si>
  <si>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</si>
  <si>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</si>
  <si>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</si>
  <si>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</si>
  <si>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</si>
  <si>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</si>
  <si>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</si>
  <si>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</si>
  <si>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</si>
  <si>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</si>
  <si>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</si>
  <si>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Содержание пунктов пропуска через государственную границу Российской Федерации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</si>
  <si>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</si>
  <si>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</si>
  <si>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</si>
  <si>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</si>
  <si>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</si>
  <si>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</si>
  <si>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</si>
  <si>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</si>
  <si>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</si>
  <si>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</si>
  <si>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</si>
  <si>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</si>
  <si>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</si>
  <si>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</si>
  <si>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</si>
  <si>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</si>
  <si>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</si>
  <si>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</si>
  <si>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</si>
  <si>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</si>
  <si>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</si>
  <si>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от ____________ №________</t>
  </si>
  <si>
    <t>№</t>
  </si>
  <si>
    <t>Наименование программы</t>
  </si>
  <si>
    <t>Код ведомственной классификации</t>
  </si>
  <si>
    <t>Приложение 3</t>
  </si>
  <si>
    <t>01003</t>
  </si>
  <si>
    <t>Дотации  на выравнивание бюджетной обеспеченности поселений Ярославской области</t>
  </si>
  <si>
    <t>Дотации на выравнивание бюджетной обеспеченности  муниципальных районов Ярославской области</t>
  </si>
  <si>
    <t>Дотации на обеспечение сбалансированности бюджетов муниципальных образований Ярославской области (Тутаевский муниципальный район)</t>
  </si>
  <si>
    <t>Дотации на обеспечение сбалансированности бюджетов муниципальных образований Ярославской области (Левобережное сельское поселение)</t>
  </si>
  <si>
    <t>Субсидии бюджетам субъектов Российской Федерации и муниципальных образований (межбюджетные субсидии)</t>
  </si>
  <si>
    <t>957</t>
  </si>
  <si>
    <t>02085</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</si>
  <si>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</si>
  <si>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958</t>
  </si>
  <si>
    <t>Субсидия на государственную поддержку материально-технической базы образовательных учреждений Ярославской области</t>
  </si>
  <si>
    <t>956</t>
  </si>
  <si>
    <t>02041</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</si>
  <si>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</si>
  <si>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оплату труда работников сферы образования</t>
  </si>
  <si>
    <t>953</t>
  </si>
  <si>
    <t>950</t>
  </si>
  <si>
    <t>Субсидия на реализацию областной целевой программы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t>
  </si>
  <si>
    <t>Субсидия на реализацию мероприятий 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</si>
  <si>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Субсидия на реализацию областной целевой программы "Комплексная программа модернизации и реформирования ЖКХ ЯО" в части строительства и реконструкции объектов теплоснабжения и газификации</t>
  </si>
  <si>
    <t>Субсидия на реализацию областной целевой программы "Доступная среда" в сфере образования</t>
  </si>
  <si>
    <t>Субсидия на реализацию мероприятий областной целевой программы "Обеспечение безопасности граждан на водных объектах Ярославской области"</t>
  </si>
  <si>
    <t>954</t>
  </si>
  <si>
    <t>Субвенция местным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</si>
  <si>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</si>
  <si>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адаптации учреждений социального обслуживания населения для обеспечения доступности для инвалидов и других маломобильных групп населения</t>
  </si>
  <si>
    <t>Межбюджетные трансферты на реализацию ведомственной целевой программы "Социальная поддержка населения Ярославской области"</t>
  </si>
  <si>
    <t>02999</t>
  </si>
  <si>
    <t>02078</t>
  </si>
  <si>
    <t>03015</t>
  </si>
  <si>
    <t>03003</t>
  </si>
  <si>
    <t>03033</t>
  </si>
  <si>
    <t>03020</t>
  </si>
  <si>
    <t>03053</t>
  </si>
  <si>
    <t>03026</t>
  </si>
  <si>
    <t>03004</t>
  </si>
  <si>
    <t>03001</t>
  </si>
  <si>
    <t>03022</t>
  </si>
  <si>
    <t>03024</t>
  </si>
  <si>
    <t>03027</t>
  </si>
  <si>
    <t>04025</t>
  </si>
  <si>
    <t>04999</t>
  </si>
  <si>
    <t>05013</t>
  </si>
  <si>
    <t>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</si>
  <si>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</si>
  <si>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05035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</si>
  <si>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</si>
  <si>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</si>
  <si>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06013</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</si>
  <si>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</si>
  <si>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06025</t>
  </si>
  <si>
    <t>04014</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</si>
  <si>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</si>
  <si>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Иные межбюджетные трансферты </t>
  </si>
  <si>
    <t>Межбюджетные трансферты</t>
  </si>
  <si>
    <t>Резервные фонды местных администраций</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</si>
  <si>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</si>
  <si>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</si>
  <si>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</si>
  <si>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</si>
  <si>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</si>
  <si>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</si>
  <si>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</si>
  <si>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</si>
  <si>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</si>
  <si>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Подпрограммы "Обеспечение жильем молодых семей" ФЦП "Жилище"</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</si>
  <si>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</si>
  <si>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</si>
  <si>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Субсидия на реализацию мероприятий по подготовке к зиме объектов коммунального назначения</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</si>
  <si>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</si>
  <si>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Расходы на реализацию мероприятий по патриотическому воспитанию молодежи ЯО</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</si>
  <si>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</si>
  <si>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</si>
  <si>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Компенсация расходов на содержание ребенка в дошкольной образовательной организации</t>
  </si>
  <si>
    <t>Субсидия на содержание органов местного самоуправления</t>
  </si>
  <si>
    <t>Программа "Обеспечение доступного дошкольного образования" в части мероприятий по строительству дошкольных образовательных учреждений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</si>
  <si>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</si>
  <si>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</si>
  <si>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</si>
  <si>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 xml:space="preserve">Областная целевая программа "Развитие материально-технической базы физической культуры и спорта Ярославской области" </t>
  </si>
  <si>
    <t>Областная целевая программа "Комплексная программа модернизации и реформирования жилищно-коммунального хозяйства"</t>
  </si>
  <si>
    <t xml:space="preserve">Региональная программа "Стимулирование развития жилищного строительства на территории Ярославской области" </t>
  </si>
  <si>
    <t>ОЦП "Обращение с твердыми бытовыми отходами на территории ЯО"</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</si>
  <si>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</si>
  <si>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</si>
  <si>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Прочие мероприятия, осуществляемые за счет межбюджетных трансфертов прошлых лет из федерального бюджета</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</si>
  <si>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</si>
  <si>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</si>
  <si>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Программа развтия систем коммунальной инфраструктуры Тутаевского муниципального района на 2011-2015 годы с перспективой до 2030 года</t>
  </si>
  <si>
    <t>МЦП " Сохранность автомобильных дорог общего пользования на 2011-2013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</si>
  <si>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</si>
  <si>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</si>
  <si>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Комплексная программа профилактики правонарушений и усиления борьбы с преступностью в Тутаевском муниципальном районе на 2012-2013 годы</t>
  </si>
  <si>
    <t>Программа соц. защиты населения Тутаевского муниципального района на 2011-2013 годы</t>
  </si>
  <si>
    <t>МЦП "Развитие культуры Тутаевского муниципального района на 2011-2013 годы"</t>
  </si>
  <si>
    <t>МЦП "Развитие информатизации Тутаевского муниципального района Ярославской области" на 2011-2013 годы</t>
  </si>
  <si>
    <t>МЦП "Патриотическое воспитание граждан РФ, проживающих на территории ТМР ЯО,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</si>
  <si>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</si>
  <si>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</si>
  <si>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Областная целевая программа "Доступная среда"</t>
  </si>
  <si>
    <t>Мероприятия по реализации областной целевой программы "Доступная среда"</t>
  </si>
  <si>
    <t>Ежемесячные денежные выплаты, назначаемые в случае рождения третьего ребенка или последующих детей до достижения ребенком возраста трех лет</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</si>
  <si>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</si>
  <si>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</si>
  <si>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2. Субсидия на реализацию мероприятий ОЦП "Обеспечение безопасности граждан на водных объектах Ярославской области"</t>
  </si>
  <si>
    <t>Чебаковское  сельское поселение</t>
  </si>
  <si>
    <t>4. Субсидия на компенсацию части затрат по организации внутримуниципального сообщения водным транспортом с использованием переправ</t>
  </si>
  <si>
    <t>МЦП " Развитие въездного и внутреннего туризма на территории ТМР на 2011-2015 годы"</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</si>
  <si>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</si>
  <si>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</si>
  <si>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МЦП "Развитие физической культуры и спорта в Тутаевском муниципальном районе" на 2013-2015 годы</t>
  </si>
  <si>
    <t>Субсидии некоммерческим организациям (за исключением государственных учреждений)</t>
  </si>
  <si>
    <t>МЦП "Развитие потребительского рынка ТМР" на 2012-2014 годы</t>
  </si>
  <si>
    <t>Ведомственная целевая программа "Молодежь" на 2013-2015 годы</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</si>
  <si>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</si>
  <si>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</si>
  <si>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</si>
  <si>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ВСЕГО</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</si>
  <si>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</si>
  <si>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Оказание господ. поддержки победителям конкурса проект. иннов. моделей по выявл. и поддержке одарен. детей</t>
  </si>
  <si>
    <t>МЦП "Об энергосбережении и повышении энергетической эффективности Тутаевского муниципального района на 2011-2013годы"</t>
  </si>
  <si>
    <t>МЦП "Об энергосбережении и повышении энергетической эффективности Тутаевского муниципального района на 2011-2013 годы"</t>
  </si>
  <si>
    <t>МЦП "Развитие потребительского рынка ТМР на 2012-2014 годы"</t>
  </si>
  <si>
    <t>Реализацию областной целевой программы "Доступная среда" в сфере образования</t>
  </si>
  <si>
    <t>Адаптация учреждений социального обслуживания населения для обеспечения доступности для инвалидов и других маломобильных групп населения</t>
  </si>
  <si>
    <t>2011</t>
  </si>
  <si>
    <t>2012</t>
  </si>
  <si>
    <t>2013</t>
  </si>
  <si>
    <t>2015</t>
  </si>
  <si>
    <t>2035</t>
  </si>
  <si>
    <t>2017</t>
  </si>
  <si>
    <t>2039</t>
  </si>
  <si>
    <t>2007</t>
  </si>
  <si>
    <t>2037</t>
  </si>
  <si>
    <t>2025</t>
  </si>
  <si>
    <t>2040</t>
  </si>
  <si>
    <t>2018</t>
  </si>
  <si>
    <t>2036</t>
  </si>
  <si>
    <t>2019</t>
  </si>
  <si>
    <t>2022</t>
  </si>
  <si>
    <t>2023</t>
  </si>
  <si>
    <t>2038</t>
  </si>
  <si>
    <t>2031</t>
  </si>
  <si>
    <t>3015</t>
  </si>
  <si>
    <t>3016</t>
  </si>
  <si>
    <t>3017</t>
  </si>
  <si>
    <t>03090</t>
  </si>
  <si>
    <t>3003</t>
  </si>
  <si>
    <t>3006</t>
  </si>
  <si>
    <t>3004</t>
  </si>
  <si>
    <t>3013</t>
  </si>
  <si>
    <t>3012</t>
  </si>
  <si>
    <t>3021</t>
  </si>
  <si>
    <t>3022</t>
  </si>
  <si>
    <t>3001</t>
  </si>
  <si>
    <t>3002</t>
  </si>
  <si>
    <t>3007</t>
  </si>
  <si>
    <t>3008</t>
  </si>
  <si>
    <t>3009</t>
  </si>
  <si>
    <t>3005</t>
  </si>
  <si>
    <t>3014</t>
  </si>
  <si>
    <t>3010</t>
  </si>
  <si>
    <t>3019</t>
  </si>
  <si>
    <t>4003</t>
  </si>
  <si>
    <t>4002</t>
  </si>
  <si>
    <t>4004</t>
  </si>
  <si>
    <t>Налог, взимаемый в связи с применением патентной системы налогообложения</t>
  </si>
  <si>
    <t>03021</t>
  </si>
  <si>
    <t>Субвенция на ежемесячное денежное вознаграждение за классное руководство</t>
  </si>
  <si>
    <t>2005</t>
  </si>
  <si>
    <t>Субсидия на оплату труда работников сферы культуры</t>
  </si>
  <si>
    <t>2009</t>
  </si>
  <si>
    <t>2010</t>
  </si>
  <si>
    <t xml:space="preserve">Субсидия на реализацию мероприятий областной целевой программы "Доступная среда" в сфере культуры </t>
  </si>
  <si>
    <t>2030</t>
  </si>
  <si>
    <t>Субсидия на реализацию подпрограммы "Государственная поддержка граждан, проживающих на территории Ярославской области, в сфере ипотечного кредитования"</t>
  </si>
  <si>
    <t>Субсидия на реализацию мероприятий региональной программы "Развитие водоснабжения, водоотведения и очистки сточных вод Ярославской области" в части строительства и реконструкции объектов водоснабжения и водоотведения</t>
  </si>
  <si>
    <t>05075</t>
  </si>
  <si>
    <t>Доходы от сдачи в аренду имущества, составляющего казну муниципальных районов (за исключением земельных участков)</t>
  </si>
  <si>
    <t>Субсидия на оказание (выполнение) муниципальными учреждениями услуг (работ) в сфере молодежной политики</t>
  </si>
  <si>
    <t>Субсидия на реализацию областной целевой программы "Доступная среда" в сфере молодежной политики</t>
  </si>
  <si>
    <t>Субсидия на оплату труда работников сферы молодежной политики</t>
  </si>
  <si>
    <t xml:space="preserve">Бюджетные инвестиции иным юридическим лицам </t>
  </si>
  <si>
    <t>Бюджетные инвестиции на приобретение объектов недвижимого имущества казенными учреждениями</t>
  </si>
  <si>
    <t>Муниципальная целевая программа "Развитие агропромышленного комплекса и сельских территорий ТМР" на 2013-2015 годы</t>
  </si>
  <si>
    <t>4006</t>
  </si>
  <si>
    <t>Межбюджетные трансферты на  реализацию областной целевой программы "О государственной поддержке отдельных категорий граждан, проживающих в Ярославской области, по проведению ремонта жилых помещений и (или) работ, направленных на повышение уровня обеспеченности их коммунальными услугами"</t>
  </si>
  <si>
    <t>Субсидии на осуществление капитальных вложений в объекты капитального строительства бюджетным учреждениям</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</si>
  <si>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</si>
  <si>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федерального бюджета</t>
  </si>
  <si>
    <t>2043</t>
  </si>
  <si>
    <t>Субсидия на частичную компенсацию расходов, связанных с выполнением полномочий органами местного самоуправления муниципальных образований по теплоснабжению</t>
  </si>
  <si>
    <t>955 01 03 01 00 00 0000 800</t>
  </si>
  <si>
    <t>955 01 03 01 00 05 0000 810</t>
  </si>
  <si>
    <t>МЦП " О социальной поддержке отдельных категорий граждан, проживающих в Тутаевском муниципальном районе, по проведению ремонта жилых помещений и (или) работ, направленных на повышение уровня обеспеченности их коммунальными услугами" на 2010-2013 годы</t>
  </si>
  <si>
    <t>Областная целевая программа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</si>
  <si>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Областная целевая программа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</si>
  <si>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955 01 03 00 00 00 0000 000</t>
  </si>
  <si>
    <t>Мероприятия в области коммунального хозяйства, связанные с выполнением работ   по газоснабжению поселений (газификация  левый берег)</t>
  </si>
  <si>
    <t>Субсидия на частичную компенсацию расходов юридическим лицам, оказывающим услуги теплоснабжения жилищного фонда и учреждений бюджетной сферы  в  Тутаевском  муниципальном районе</t>
  </si>
  <si>
    <t xml:space="preserve">7. Субсидия на реализацию мероприятий подпрограммы "Улучшение условий проживания отдельных категорий граждан, нуждающихся в специальной социальной защите" </t>
  </si>
  <si>
    <t>Подпрограмма "Господдержка молодых семей Ярославской области в приобретении (строительстве) жилья.</t>
  </si>
  <si>
    <t>Реализация мероприятий федеральной целевой программы "Социальное развитие села до 2013 года"</t>
  </si>
  <si>
    <t>Обеспечение мероприятий по капитальному ремонту многоквартирных домов и переселению граждан из аварийного жилищного фонда</t>
  </si>
  <si>
    <t>02088</t>
  </si>
  <si>
    <t>0004</t>
  </si>
  <si>
    <t>Субсидя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</si>
  <si>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02089</t>
  </si>
  <si>
    <t>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</si>
  <si>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02145</t>
  </si>
  <si>
    <t>Субсидия на модернизацию региональных систем общего образования</t>
  </si>
  <si>
    <t>02009</t>
  </si>
  <si>
    <t>04012</t>
  </si>
  <si>
    <t>4010</t>
  </si>
  <si>
    <t>Субсидия на реализацию мероприятий федеральной целевой программы "Социальное развитие села до 2013 года"</t>
  </si>
  <si>
    <t>2027</t>
  </si>
  <si>
    <t>Субсидия на реализацию мероприятий ведомственной целевой программы "Поддержка потребительского рынка на селе" в части возмещения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</si>
  <si>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02008</t>
  </si>
  <si>
    <t>2045</t>
  </si>
  <si>
    <t>Субсидия на оснащение системами пожарной безопасности и текущий ремонт муниципальных учреждений культуры</t>
  </si>
  <si>
    <t>2044</t>
  </si>
  <si>
    <t>Субсидия на оказание государственной поддержки победителям ежегодного конкурса социально значимых проектов в сфере организации отдыха и оздоровления детей на территории Ярославской области</t>
  </si>
  <si>
    <t>Субвенция на предоставление за счет средств областного бюджета жилых помещений по договорам социального найма детям-сиротам, детям, оставшимся без попечения родителей, лицам из числа детей-сирот и детей, оставшихся без попечения родителей</t>
  </si>
  <si>
    <t xml:space="preserve">Субсидия на реализацию муниципальных целевых программ развития субъектов малого и среднего предпринимательства в рамках областной целевой программы развития субъектов малого и среднего предпринимательства Ярославской области </t>
  </si>
  <si>
    <t xml:space="preserve">Субсидия на реализацию муниципальных программ развития субъектов малого и среднего предпринимательства монопрофильных муниципальных образований, включенных в перечень монопрофильных муниципальных образований с высокой степенью проявления кризисной ситуации в социально-экономической сфере и (или) находящихся в зоне повышенной степени риска, в рамках областной целевой программы развития субъектов малого и среднего предпринимательства Ярославской области </t>
  </si>
  <si>
    <t xml:space="preserve">Областная целевая программа "Снижение административных барьеров, оптимизация и повышение качества предоставления государственных и муниципальных услуг" </t>
  </si>
  <si>
    <t>Реализация программы развития муниципальной службы муниципальных образований Ярославской области</t>
  </si>
  <si>
    <t>8. Субсидия на обеспечение мероприятий по переселению граждан из аварийного жилищного фрнда с учетом необходимости развития малоэтажного жилищного строительства за счет средств, поступивших от государственной корпарации - Фонда содейцствия реформированию жилищно-коммунального хозяйства</t>
  </si>
  <si>
    <t>Реализация мероприятий комплекса мер по модернизации общего образования</t>
  </si>
  <si>
    <t>МЦП "Здоровое питание обучающихся образовательных учреждений Тутаевского муниципальнго района" на 2013-2015 годы</t>
  </si>
  <si>
    <t>Реализацию областной целевой программы "Доступная среда" в сфере культуры</t>
  </si>
  <si>
    <t>Реализацию областной целевой программы "Доступная среда" в сфере молодежной политики</t>
  </si>
  <si>
    <t>Программа развития муниципальной службы в Тутаевском муниципальном районе на 2013-2015 годы</t>
  </si>
  <si>
    <t>Субсидия на реализацию программ развития муниципальной службы муниципальных образований Ярославской области</t>
  </si>
  <si>
    <t xml:space="preserve">4. Субсидия на реализацию мероприятий по строительству и реконструкции объектов водоснабжения и водоотведения </t>
  </si>
  <si>
    <t>5. Субсидия на реализацию подпрограммы "Государственная поддержка  граждан, проживающих на территории ЯО, в сфере ипотечного  жилищного кредитования"</t>
  </si>
  <si>
    <t>6. Субсидия на реализацию муниципальных программ развития субъектов малого и среднего предпринимательства монопрофильных муниципальных образований, включенных в перечень монопрофильных муниципальных образований с высокой степенью проявления кризисной ситуации в социально-экономической сфере и (или) находящихсяв зоне повышенной степени риска</t>
  </si>
  <si>
    <t>Субсидия на реализацию мероприятий подпрограммы "Государственная поддержка молодых семей Ярославской области в приобретении (строительстве) жилья"</t>
  </si>
  <si>
    <t>Приложение 8</t>
  </si>
  <si>
    <t>Получение бюджетных кредитов, полученных от других бюджетов бюджетной системы Российской Федерации в валюте Российской Федерации</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</si>
  <si>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</si>
  <si>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955 01 03 01 00 05 0000 710</t>
  </si>
  <si>
    <t>955 01 03 01 00 00 0000 700</t>
  </si>
  <si>
    <t>Субсидия на ликвидацию последствий чрезвычайных ситуаций, вызванных взрывом бытового газа</t>
  </si>
  <si>
    <t>Субсидия на реализацию муниципальных программ повышения эффективности бюджетных расходов</t>
  </si>
  <si>
    <t>2049</t>
  </si>
  <si>
    <t>2048</t>
  </si>
  <si>
    <t>9. Субсидия на обеспечение мероприятий по переселению грааждан из аварийного жилищного фрнда с учетом необходимости развития малоэтажного жилищного строительства за счет средств областного бюджета</t>
  </si>
  <si>
    <t>10. Субсидия на проведение мероприятий по повышению энергоэффективности в муниципальных районах(городских округах) в рамках реализации ОЦП "Энергосбережение и повышение энергоэффективности в ЯО"</t>
  </si>
  <si>
    <t>2032</t>
  </si>
  <si>
    <t>Субсидия на реализацию мероприятий областной целевой программы "Развитие правовой грамотности и правосознания граждан на территории Ярославской области" в части создания пунктов оказания бесплатной юридической помощи</t>
  </si>
  <si>
    <t>2033</t>
  </si>
  <si>
    <t>Субсидия на реализацию мероприятий областной целевой программы "Развитие правовой грамотности и правосознания граждан на территории Ярославской области" на оказание поддержки центрам правовой информации</t>
  </si>
  <si>
    <t>2050</t>
  </si>
  <si>
    <t>Субсидия на оказание государственной поддержки победителям ежегодного смотра-конкурса на лучшую организации работы в сфере патриотического воспитания в Ярославской области</t>
  </si>
  <si>
    <t>Областная целевая программа "Развитие правовой грамотности и правосознания граждан на территории Ярославской области"</t>
  </si>
  <si>
    <t>Поддержка жилищного хозяйства</t>
  </si>
  <si>
    <t>11. Субсидия на ликвидацию последствий чрезвы ситуаций, вызванных взрывом бытового газа</t>
  </si>
  <si>
    <t xml:space="preserve">Региональная программа "Повышение эффективности бюджетных расходов Ярославской области "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</si>
  <si>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образованиях области</t>
  </si>
  <si>
    <t>0001</t>
  </si>
  <si>
    <t xml:space="preserve">Субсидия на обеспечение мероприятий по капитальному ремонту многоквартирных домов за счет средств областного бюджета </t>
  </si>
  <si>
    <t xml:space="preserve">                                                                                                                                                                                       руб.</t>
  </si>
  <si>
    <t>Виды заимствований</t>
  </si>
  <si>
    <t>2013 год</t>
  </si>
  <si>
    <r>
      <t xml:space="preserve">1. </t>
    </r>
    <r>
      <rPr>
        <b/>
        <sz val="12"/>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</si>
  <si>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</si>
  <si>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</si>
  <si>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</si>
  <si>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</si>
  <si>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</si>
  <si>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</si>
  <si>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</si>
  <si>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</si>
  <si>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</si>
  <si>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Сумма (руб.)</t>
  </si>
  <si>
    <t>%</t>
  </si>
  <si>
    <r>
      <t xml:space="preserve">1 </t>
    </r>
    <r>
      <rPr>
        <sz val="12"/>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</si>
  <si>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</si>
  <si>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</si>
  <si>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</si>
  <si>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2051</t>
  </si>
  <si>
    <t>Субсидия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</si>
  <si>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 xml:space="preserve">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t>
  </si>
  <si>
    <t>Приложение 6</t>
  </si>
  <si>
    <t>Реализация муниципальной программы "Повышение эффективности бюджетных расходов"</t>
  </si>
  <si>
    <t>02204</t>
  </si>
  <si>
    <t>Субсидия на модернизацию региональных систем дошкольного образования</t>
  </si>
  <si>
    <t>2001</t>
  </si>
  <si>
    <t>Субсидия на реализацию муниципальных программ развития туризма и отдыха</t>
  </si>
  <si>
    <t>02150</t>
  </si>
  <si>
    <t>Субсидия на реализацию программы энергосбережения и повышения энергетической эффективности на период до 2020 года</t>
  </si>
  <si>
    <t>Мероприятия в области коммунального хозяйства, связанные с выполнением работ по газификации пос. Константиновский</t>
  </si>
  <si>
    <t>Модернизация региональных  систем  дошкольного образования</t>
  </si>
  <si>
    <t xml:space="preserve">Мероприятия по строительству и реконструкции дошкольных образовательных учреждений </t>
  </si>
  <si>
    <t>Приобретение оборудования для оснащения дополнительных мест в дошкольных образовательных организациях</t>
  </si>
  <si>
    <t xml:space="preserve">Прочие  безвозмездные   поступления   от                                   других бюджетов бюджетной системы
</t>
  </si>
  <si>
    <t>Межбюджетные трансферты на софинансирование  региональной программы "Социальная поддержка пожилых граждан Ярославской области" за счет средств Пенсионного Фонда Российской Федерации</t>
  </si>
  <si>
    <t xml:space="preserve">Прочие безвозмездные поступления от                                 бюджета Пенсионного фонда Российской                                Федерации
</t>
  </si>
  <si>
    <t>09071</t>
  </si>
  <si>
    <t>09000</t>
  </si>
  <si>
    <t>5001</t>
  </si>
  <si>
    <t>12. Субсидия на реализацию мероприятий подпрограммы " Государственная поддержка молодых семей Ярославской области в приобретении (строительстве) жилья"</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</si>
  <si>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пенсионерамсоциального обслуживания населения и оказанием адресной социальной помощи неработающим пенсионерам</t>
  </si>
  <si>
    <t>Софинансирование  региональной программы "Социальная поддержка пожилых граждан Ярославской области" за счет средств Пенсионного Фонда Российской Федерации</t>
  </si>
  <si>
    <t>02051</t>
  </si>
  <si>
    <t>Субсидии бюджетам муниципальных районов на реализацию федеральных целевых программ</t>
  </si>
  <si>
    <t>МЦП "Развитие субъектов малого и среднего предпринимательства Тутаевского муниципального района на 2013-2015 годы"</t>
  </si>
  <si>
    <t>6-я редакция</t>
  </si>
  <si>
    <t>01999</t>
  </si>
  <si>
    <t>Прочие дотации бюджетам муниципальных районов (дотация на содействие улучшению значений показателей эффективности деятельности органов местного самоуправления муниципальных образований Ярославской области)</t>
  </si>
  <si>
    <t>Малый бизнес и предпринимательство</t>
  </si>
  <si>
    <t>Субсидия на реализацию муниципальных целевых программ развития субъектов малого и среднего предпринимательства в части федерального бюджета</t>
  </si>
  <si>
    <t>Субсидия на реализацию муниципальных целевых программ развития субъектов малого и среднего предпринимательства, включенных в перечень монопрофильных муниципальных районов с высокой степенью проявления кризисной ситуации в социально-экономической сфере и (или) находящихся в зоне повышенной степени риска в части средств федерального бюджета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</si>
  <si>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 за счет федеральных средств</t>
  </si>
  <si>
    <t>ОЦП "Развитие органов местного самоуправления на территории Ярославской области"</t>
  </si>
  <si>
    <t>Дотации на содействие улучшению показателей эффективности деятельности органов местного самоуправления  муниципальных образований Ярославской области</t>
  </si>
  <si>
    <t>ОЦП "Развитие агропромышленного комплекса и сельских территорий ЯО" в части финансирования мероприятий за счет средств областного бюджета</t>
  </si>
  <si>
    <t>03011</t>
  </si>
  <si>
    <t>Субвенция на государственные единовременные пособия и ежемесячные денежные компенсации гражданам при возникновении поствакцинальных осложнений</t>
  </si>
  <si>
    <t>04041</t>
  </si>
  <si>
    <t>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</si>
  <si>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04052</t>
  </si>
  <si>
    <t>Межбюджетные трансферты на государственную поддержку муниципальных учреждений культуры, находящихся на территориях сельских поселений</t>
  </si>
  <si>
    <t>04053</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</si>
  <si>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</si>
  <si>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3023</t>
  </si>
  <si>
    <t>Субвенция на реализацию отдельных полномочий в сфере поддержки сельскохозяйственного производства в части организационных мероприятий в рамках предоставления субсидий сельскохозяйственным производителям</t>
  </si>
  <si>
    <t>Региональные адресные программы по переселению граждан из аварийного жилищного фонда Ярославской области</t>
  </si>
  <si>
    <t>Артемьевское  сельское поселение</t>
  </si>
  <si>
    <t>Субсидия на обеспечение мероприятий по переселению граждан из аварийного ЖФ с учетом необходимости развития малоэтажного жилищного строительства на приобретение жилых помещений, площадь которых больше площади занимаемых помещений, за счет средств областного бюджета</t>
  </si>
  <si>
    <t>Приложение 7</t>
  </si>
  <si>
    <t>Приложение 9</t>
  </si>
  <si>
    <t xml:space="preserve">МАП по проведению капитального ремонта многоквартирных домов на территории Тутаевского муниципального района на 2013 год </t>
  </si>
  <si>
    <t>МЦП "Развитие жилищного строительства в ТМР на 2011-2015годы"</t>
  </si>
  <si>
    <t>Программа комплексного развития коммунальной инфраструктуры Тутаевского муниципального района на 2011-2015 годы</t>
  </si>
  <si>
    <t>МЦП "Развитие водоснабжения, водоотведения и очистки сточных вод" на территрии Тутаевского муниципального района на 2012-2017 годы</t>
  </si>
  <si>
    <t>Исполнено, руб.</t>
  </si>
  <si>
    <t xml:space="preserve"> Исполнение доходов бюджета Тутаевского муниципального района за 2013 год  в соответствии с классификацией доходов бюджетов Российской Федерации</t>
  </si>
  <si>
    <t>Исполнение расходов бюджета Тутаевского муниципального района по разделам и подразделам классификации расходов бюджетов Российской Федерации за 2013 год</t>
  </si>
  <si>
    <t>Исполнение источников внутреннего финансирования дефицита                                                                                                                                бюджета Тутаевского муниципального района за 2013 год</t>
  </si>
  <si>
    <t>Исполнение Программы</t>
  </si>
  <si>
    <t xml:space="preserve">муниципальных внутренних заимствований Тутаевского муниципального района за 2013 год </t>
  </si>
  <si>
    <t>1. Муниципальные внутренние заимствования</t>
  </si>
  <si>
    <t xml:space="preserve">2. Информация о фактических размерах </t>
  </si>
  <si>
    <t>2. Фактический объем муниципального долга на 01.01.2014</t>
  </si>
  <si>
    <t>3.Фактический объем расходов на обслуживание муниципального долга</t>
  </si>
  <si>
    <t>4. Фактический объем муниципальных заимствований</t>
  </si>
  <si>
    <t>5. Фактический объем предоставляемых муниципальных гарантий</t>
  </si>
  <si>
    <t>Утвержденный план</t>
  </si>
  <si>
    <t>План</t>
  </si>
  <si>
    <t>1. Дотация на выравнивание бюджетной обеспеченности поселений Тутаевского муниципального района</t>
  </si>
  <si>
    <t>в том числе:  из районного фонда финансовой поддержки поселений</t>
  </si>
  <si>
    <t>2. Дотация на обеспечение сбалансированности бюджетов поселений Тутаевского муниципального района</t>
  </si>
  <si>
    <t>1. Субвенция на осуществление первичного воинского учета на территориях, где отсутствуют военные комиссариаты</t>
  </si>
  <si>
    <t>1. Межбюджетные трансферты  на реализацию ОЦП "О государственной поддержке отдельных категорий граждан, проживающих в Ярославской области по проведению ремонта жилых помещений и (или) работ, направленных на повышение уровня обеспеченности их коммунальными услугами"</t>
  </si>
  <si>
    <t>2. Межбюджетные трансферты, передаваемые бюджетам поселений для компенсации дополнительных расходов, возникающих в результате решений, принятых оганами власти другого уровня</t>
  </si>
  <si>
    <t>2.1 МБТ на приобретение оборудования для городошной площадки на территории детского парка</t>
  </si>
  <si>
    <t>2.2 МБТ на приобретение детского городка для установки в с. Савинское</t>
  </si>
  <si>
    <t xml:space="preserve">Левобережное сельское поселение </t>
  </si>
  <si>
    <t>2.3 МБТ на приобретение детского городка</t>
  </si>
  <si>
    <t xml:space="preserve">Артемьевское сельское поселение </t>
  </si>
  <si>
    <t>2.4  МБТ на приобретение детской  площадки</t>
  </si>
  <si>
    <t>Приложение 10</t>
  </si>
  <si>
    <t>Приложение 11</t>
  </si>
  <si>
    <t>3. Информация об объеме и структуре муниципального долга Тутаевского муниципального района по состоянию на 01.01.2014</t>
  </si>
  <si>
    <t>Приложение 5</t>
  </si>
  <si>
    <t>Исполнение ведомственной структуры расходов бюджета Тутаевского муниципального района за 2013 год</t>
  </si>
  <si>
    <t>Распределение дотаций бюджетам поселений Тутаевского муниципального района  за 2013 год</t>
  </si>
  <si>
    <t>Распределение субсидий бюджетам поселений Тутаевского муниципального района за 2013 год</t>
  </si>
  <si>
    <t>Распределение субвенций бюджетам поселений Тутаевского муниципального района за 2013 год</t>
  </si>
  <si>
    <t>Распределение иных межбюджетных трансфертов  бюджетам поселений Тутаевского муниципального района за 2013 год</t>
  </si>
  <si>
    <t>Исполнение муниципальных целевых программ за 2013 год</t>
  </si>
  <si>
    <t xml:space="preserve">Исполнение ведомственных целевых программ  за 2013 год </t>
  </si>
  <si>
    <t>13</t>
  </si>
  <si>
    <t>Доходы от оказания платных услуг (работ) и компенсации затрат государства</t>
  </si>
  <si>
    <t>02077</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</si>
  <si>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</si>
  <si>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18</t>
  </si>
  <si>
    <t>19</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</si>
  <si>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</si>
  <si>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Взврат остатков субсидий,субвенций и иных межбюджетных трансфертов, имеющих целевое назначение, прошлых лет</t>
  </si>
  <si>
    <t>13. Субсидия на реализацию мероприятий по переселению граждан из ветхого и аварийного жилищного фонда за счет средств местного бюджета</t>
  </si>
  <si>
    <t>Количество штатных единиц, чел.</t>
  </si>
  <si>
    <t>Муниципальные служащие органов местного самоуправления</t>
  </si>
  <si>
    <t>Работники муниципальных учреждений</t>
  </si>
  <si>
    <t>Всего</t>
  </si>
  <si>
    <t>в том числе:</t>
  </si>
  <si>
    <t xml:space="preserve">  -на оказание материальной помощи пострадавшим от пожара</t>
  </si>
  <si>
    <t xml:space="preserve">   -на приобретение, погрузку и доставку угля для Никольской общеобразовательной школы и средней общеобразовательной школы №5</t>
  </si>
  <si>
    <t xml:space="preserve">  -на проведение работ по отбору и анализу воды, почвы и воздуха на границе полигона захоронения ТБО</t>
  </si>
  <si>
    <t xml:space="preserve">  -на ремонт теплотрассы детского дошкольного учреждения №14 "Сказка"</t>
  </si>
  <si>
    <t xml:space="preserve">  -на расчистку кровель от снега муниципальных учреждений образования</t>
  </si>
  <si>
    <t xml:space="preserve">  -выпиловка деревьев находящихся на территории муниципальных учреждений культуры и образования</t>
  </si>
  <si>
    <t xml:space="preserve">  -гидродинамическая промывка канализационных труб по адресу:г. Тутаев ул. Моторостроителей, ул. Советская</t>
  </si>
  <si>
    <t xml:space="preserve"> -ремонт стены гаража МУ "Центр культуры и туризма "Романов-Борисоглебск"</t>
  </si>
  <si>
    <t xml:space="preserve"> -на ремонт кровли Константиновского СКК</t>
  </si>
  <si>
    <t xml:space="preserve">  -Артемьевскому ЖКХ на приобретение глубинного насоса, водонагревателей, использование механизмов и спецматериалов при устранении аварии</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</si>
  <si>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2013 год</t>
  </si>
  <si>
    <t>Затраты на денежное содержание за  2013 год, руб.</t>
  </si>
  <si>
    <t>Исполнено  за  2013 год, руб.</t>
  </si>
  <si>
    <t>О Т Ч Е Т                                                                                                                                                  о расходовании средств резервного фонда Администрации Тутаевского муниципального района за   2013 год</t>
  </si>
</sst>
</file>

<file path=xl/styles.xml><?xml version="1.0" encoding="utf-8"?>
<styleSheet xmlns="http://schemas.openxmlformats.org/spreadsheetml/2006/main">
  <numFmts count="9">
    <numFmt numFmtId="164" formatCode="_-* #,##0.00&quot;р.&quot;_-;\-* #,##0.00&quot;р.&quot;_-;_-* &quot;-&quot;??&quot;р.&quot;_-;_-@_-"/>
    <numFmt numFmtId="165" formatCode="_-* #,##0.00_р_._-;\-* #,##0.00_р_._-;_-* &quot;-&quot;??_р_._-;_-@_-"/>
    <numFmt numFmtId="166" formatCode="#,##0_р_."/>
    <numFmt numFmtId="167" formatCode=";;"/>
    <numFmt numFmtId="168" formatCode="0000"/>
    <numFmt numFmtId="169" formatCode="000"/>
    <numFmt numFmtId="170" formatCode="0000000"/>
    <numFmt numFmtId="171" formatCode="_-* #,##0_р_._-;\-* #,##0_р_._-;_-* &quot;-&quot;??_р_._-;_-@_-"/>
    <numFmt numFmtId="172" formatCode="0.0%"/>
  </numFmts>
  <fonts count="41">
    <font>
      <sz val="10"/>
      <name val="Arial Cyr"/>
      <charset val="204"/>
    </font>
    <font>
      <sz val="10"/>
      <name val="Arial Cyr"/>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8"/>
      <name val="Times New Roman"/>
      <family val="1"/>
    </font>
    <font>
      <b/>
      <sz val="12"/>
      <color indexed="8"/>
      <name val="Times New Roman"/>
      <family val="1"/>
    </font>
    <font>
      <b/>
      <sz val="12"/>
      <name val="Times New Roman"/>
      <family val="1"/>
    </font>
    <font>
      <sz val="12"/>
      <name val="Times New Roman"/>
      <family val="1"/>
    </font>
    <font>
      <b/>
      <sz val="14"/>
      <name val="Times New Roman"/>
      <family val="1"/>
    </font>
    <font>
      <b/>
      <sz val="12"/>
      <name val="Arial Cyr"/>
      <charset val="204"/>
    </font>
    <font>
      <sz val="12"/>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b/>
      <sz val="10"/>
      <name val="Times New Roman"/>
      <family val="1"/>
      <charset val="204"/>
    </font>
    <font>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b/>
      <sz val="12"/>
      <name val="Arial Cyr"/>
      <family val="2"/>
      <charset val="204"/>
    </font>
    <font>
      <sz val="10"/>
      <color indexed="72"/>
      <name val="Arial"/>
      <family val="2"/>
      <charset val="204"/>
    </font>
    <font>
      <b/>
      <sz val="10"/>
      <color indexed="72"/>
      <name val="Arial"/>
      <family val="2"/>
      <charset val="204"/>
    </font>
    <font>
      <b/>
      <sz val="12"/>
      <color indexed="8"/>
      <name val="Times New Roman"/>
      <family val="1"/>
      <charset val="204"/>
    </font>
    <font>
      <sz val="12"/>
      <name val="Times New Roman"/>
      <family val="1"/>
      <charset val="204"/>
    </font>
    <font>
      <sz val="8"/>
      <name val="Arial Cyr"/>
      <charset val="204"/>
    </font>
    <font>
      <sz val="10"/>
      <color indexed="8"/>
      <name val="Times New Roman"/>
      <family val="1"/>
      <charset val="204"/>
    </font>
    <font>
      <b/>
      <sz val="14"/>
      <name val="Times New Roman"/>
      <family val="1"/>
      <charset val="204"/>
    </font>
    <font>
      <sz val="10"/>
      <name val="Arial"/>
      <family val="2"/>
      <charset val="204"/>
    </font>
    <font>
      <b/>
      <sz val="12"/>
      <color rgb="FF000000"/>
      <name val="Times New Roman"/>
      <family val="1"/>
      <charset val="204"/>
    </font>
    <font>
      <sz val="12"/>
      <color rgb="FF000000"/>
      <name val="Times New Roman"/>
      <family val="1"/>
      <charset val="204"/>
    </font>
    <font>
      <sz val="12"/>
      <color indexed="72"/>
      <name val="Times New Roman"/>
      <family val="1"/>
      <charset val="204"/>
    </font>
    <font>
      <b/>
      <sz val="12"/>
      <color indexed="72"/>
      <name val="Times New Roman"/>
      <family val="1"/>
      <charset val="204"/>
    </font>
    <font>
      <b/>
      <i/>
      <sz val="12"/>
      <name val="Times New Roman"/>
      <family val="1"/>
      <charset val="204"/>
    </font>
    <font>
      <sz val="12"/>
      <color indexed="72"/>
      <name val="Times New Roman"/>
      <family val="1"/>
    </font>
    <font>
      <b/>
      <sz val="12"/>
      <color indexed="72"/>
      <name val="Times New Roman"/>
      <family val="1"/>
    </font>
    <font>
      <b/>
      <sz val="10"/>
      <name val="Arial Cyr"/>
      <charset val="204"/>
    </font>
    <font>
      <b/>
      <sz val="10"/>
      <name val="Arial"/>
      <family val="2"/>
      <charset val="204"/>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8"/>
      </bottom>
      <diagonal/>
    </border>
  </borders>
  <cellStyleXfs count="5">
    <xf numFmtId="0" fontId="0" fillId="0" borderId="0"/>
    <xf numFmtId="164" fontId="1" fillId="0" borderId="0" applyFont="0" applyFill="0" applyBorder="0" applyAlignment="0" applyProtection="0"/>
    <xf numFmtId="0" fontId="27" fillId="0" borderId="0"/>
    <xf numFmtId="165" fontId="1" fillId="0" borderId="0" applyFont="0" applyFill="0" applyBorder="0" applyAlignment="0" applyProtection="0"/>
    <xf numFmtId="0" fontId="1" fillId="0" borderId="0"/>
  </cellStyleXfs>
  <cellXfs count="443">
    <xf numFmtId="0" fontId="0" fillId="0" borderId="0" xfId="0"/>
    <xf numFmtId="0" fontId="5" fillId="0" borderId="0" xfId="0" applyFont="1"/>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9" fillId="0" borderId="0" xfId="0" applyFont="1"/>
    <xf numFmtId="0" fontId="8" fillId="0" borderId="0" xfId="0" applyFont="1"/>
    <xf numFmtId="0" fontId="10" fillId="0" borderId="0" xfId="0" applyFont="1" applyFill="1" applyAlignment="1">
      <alignment horizontal="center" vertical="center" wrapText="1"/>
    </xf>
    <xf numFmtId="0" fontId="11" fillId="0" borderId="0" xfId="0" applyFont="1"/>
    <xf numFmtId="0" fontId="2" fillId="0" borderId="1" xfId="0"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Alignment="1">
      <alignment horizontal="right" wrapText="1"/>
    </xf>
    <xf numFmtId="49" fontId="9" fillId="0" borderId="0" xfId="0" applyNumberFormat="1" applyFont="1" applyAlignment="1">
      <alignment horizontal="justify" wrapText="1"/>
    </xf>
    <xf numFmtId="0" fontId="8" fillId="0" borderId="0" xfId="0" applyFont="1" applyAlignment="1">
      <alignment horizontal="center" wrapText="1"/>
    </xf>
    <xf numFmtId="49" fontId="9" fillId="0" borderId="0" xfId="0" applyNumberFormat="1" applyFont="1"/>
    <xf numFmtId="3" fontId="9" fillId="0" borderId="2" xfId="0" applyNumberFormat="1" applyFont="1" applyBorder="1" applyProtection="1"/>
    <xf numFmtId="0" fontId="12" fillId="0" borderId="0" xfId="0" applyFont="1" applyProtection="1"/>
    <xf numFmtId="0" fontId="12" fillId="0" borderId="0" xfId="0" applyFont="1" applyAlignment="1" applyProtection="1">
      <alignment wrapText="1"/>
    </xf>
    <xf numFmtId="49" fontId="12" fillId="0" borderId="0" xfId="0" applyNumberFormat="1" applyFont="1" applyAlignment="1" applyProtection="1">
      <alignment horizontal="center"/>
    </xf>
    <xf numFmtId="0" fontId="12" fillId="0" borderId="0" xfId="0" applyFont="1" applyAlignment="1" applyProtection="1">
      <alignment horizontal="center" vertical="center" wrapText="1"/>
    </xf>
    <xf numFmtId="0" fontId="13" fillId="0" borderId="0" xfId="0" applyFont="1" applyProtection="1"/>
    <xf numFmtId="0" fontId="14" fillId="0" borderId="0" xfId="0" applyFont="1" applyProtection="1"/>
    <xf numFmtId="0" fontId="16" fillId="0" borderId="0" xfId="0" applyFont="1" applyProtection="1"/>
    <xf numFmtId="0" fontId="5" fillId="0" borderId="0" xfId="0" applyFont="1" applyAlignment="1">
      <alignment horizontal="center"/>
    </xf>
    <xf numFmtId="0" fontId="10" fillId="0" borderId="0" xfId="0" applyFont="1" applyFill="1" applyAlignment="1">
      <alignment horizontal="left" vertical="center" wrapText="1"/>
    </xf>
    <xf numFmtId="0" fontId="5" fillId="0" borderId="0" xfId="0" applyFont="1" applyAlignment="1">
      <alignment horizontal="left"/>
    </xf>
    <xf numFmtId="0" fontId="3" fillId="0" borderId="1" xfId="0" applyFont="1" applyBorder="1" applyAlignment="1">
      <alignment vertical="top" wrapText="1"/>
    </xf>
    <xf numFmtId="0" fontId="3" fillId="0" borderId="1" xfId="0" applyFont="1" applyBorder="1" applyAlignment="1">
      <alignment horizontal="left" vertical="top" wrapText="1"/>
    </xf>
    <xf numFmtId="0" fontId="8" fillId="0" borderId="1" xfId="0" applyFont="1" applyBorder="1" applyAlignment="1">
      <alignment horizontal="left" vertical="top" wrapText="1"/>
    </xf>
    <xf numFmtId="0" fontId="22" fillId="0" borderId="1" xfId="0" applyFont="1" applyBorder="1" applyAlignment="1">
      <alignment horizontal="left" vertical="top" wrapText="1"/>
    </xf>
    <xf numFmtId="0" fontId="5" fillId="0" borderId="0" xfId="0" applyFont="1" applyAlignment="1">
      <alignment horizontal="right"/>
    </xf>
    <xf numFmtId="49" fontId="8" fillId="0" borderId="3"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center"/>
    </xf>
    <xf numFmtId="3" fontId="8" fillId="0" borderId="5" xfId="0" applyNumberFormat="1" applyFont="1" applyBorder="1" applyProtection="1">
      <protection locked="0"/>
    </xf>
    <xf numFmtId="3" fontId="9" fillId="0" borderId="10" xfId="1" applyNumberFormat="1" applyFont="1" applyFill="1" applyBorder="1" applyAlignment="1">
      <alignment vertical="center" wrapText="1"/>
    </xf>
    <xf numFmtId="3" fontId="23" fillId="0" borderId="5" xfId="0" applyNumberFormat="1" applyFont="1" applyFill="1" applyBorder="1" applyAlignment="1">
      <alignment vertical="center"/>
    </xf>
    <xf numFmtId="0" fontId="0" fillId="0" borderId="0" xfId="0" applyAlignment="1">
      <alignment wrapText="1"/>
    </xf>
    <xf numFmtId="167" fontId="24" fillId="0" borderId="0" xfId="0" applyNumberFormat="1" applyFont="1" applyAlignment="1">
      <alignment wrapText="1"/>
    </xf>
    <xf numFmtId="167" fontId="25" fillId="0" borderId="0" xfId="0" applyNumberFormat="1" applyFont="1" applyAlignment="1">
      <alignment wrapText="1"/>
    </xf>
    <xf numFmtId="169" fontId="0" fillId="0" borderId="0" xfId="0" applyNumberFormat="1" applyAlignment="1">
      <alignment horizontal="center"/>
    </xf>
    <xf numFmtId="169" fontId="25" fillId="0" borderId="0" xfId="0" applyNumberFormat="1" applyFont="1" applyAlignment="1">
      <alignment horizontal="center"/>
    </xf>
    <xf numFmtId="169" fontId="24" fillId="0" borderId="0" xfId="0" applyNumberFormat="1" applyFont="1" applyAlignment="1">
      <alignment horizontal="center"/>
    </xf>
    <xf numFmtId="0" fontId="26" fillId="0" borderId="1" xfId="0" applyFont="1" applyBorder="1" applyAlignment="1">
      <alignment horizontal="left" vertical="top" wrapText="1"/>
    </xf>
    <xf numFmtId="0" fontId="19" fillId="0" borderId="0" xfId="0" applyFont="1"/>
    <xf numFmtId="0" fontId="19" fillId="0" borderId="0" xfId="0" applyFont="1" applyAlignment="1">
      <alignment wrapText="1"/>
    </xf>
    <xf numFmtId="168" fontId="19" fillId="0" borderId="0" xfId="0" applyNumberFormat="1" applyFont="1" applyAlignment="1">
      <alignment horizontal="center"/>
    </xf>
    <xf numFmtId="0" fontId="19" fillId="0" borderId="0" xfId="0" applyFont="1" applyAlignment="1">
      <alignment horizontal="center" wrapText="1"/>
    </xf>
    <xf numFmtId="0" fontId="19" fillId="0" borderId="0" xfId="0" applyFont="1" applyAlignment="1">
      <alignment horizontal="center"/>
    </xf>
    <xf numFmtId="168" fontId="18" fillId="0" borderId="1" xfId="0" applyNumberFormat="1" applyFont="1" applyBorder="1" applyAlignment="1">
      <alignment horizontal="center" vertical="top" wrapText="1"/>
    </xf>
    <xf numFmtId="0" fontId="18" fillId="0" borderId="1" xfId="0" applyFont="1" applyBorder="1" applyAlignment="1">
      <alignment vertical="top" wrapText="1"/>
    </xf>
    <xf numFmtId="168" fontId="19" fillId="0" borderId="1" xfId="0" applyNumberFormat="1" applyFont="1" applyBorder="1" applyAlignment="1">
      <alignment horizontal="center" vertical="top" wrapText="1"/>
    </xf>
    <xf numFmtId="0" fontId="19" fillId="0" borderId="1" xfId="0" applyFont="1" applyBorder="1" applyAlignment="1">
      <alignmen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18" fillId="0" borderId="1" xfId="0" applyFont="1" applyBorder="1" applyAlignment="1">
      <alignment horizontal="left" vertical="top" wrapText="1"/>
    </xf>
    <xf numFmtId="168" fontId="21" fillId="0" borderId="1" xfId="0" applyNumberFormat="1" applyFont="1" applyBorder="1" applyAlignment="1">
      <alignment horizontal="center" vertical="top" wrapText="1"/>
    </xf>
    <xf numFmtId="0" fontId="21" fillId="0" borderId="1" xfId="0" applyFont="1" applyBorder="1" applyAlignment="1">
      <alignment vertical="top" wrapText="1"/>
    </xf>
    <xf numFmtId="0" fontId="19" fillId="0" borderId="1" xfId="0" applyFont="1" applyBorder="1" applyAlignment="1">
      <alignment horizontal="justify" vertical="top" wrapText="1"/>
    </xf>
    <xf numFmtId="169" fontId="19" fillId="0" borderId="0" xfId="0" applyNumberFormat="1" applyFont="1" applyAlignment="1">
      <alignment horizontal="center"/>
    </xf>
    <xf numFmtId="0" fontId="3" fillId="0" borderId="1" xfId="0" applyFont="1" applyBorder="1" applyAlignment="1">
      <alignment wrapText="1"/>
    </xf>
    <xf numFmtId="170" fontId="19" fillId="0" borderId="0" xfId="0" applyNumberFormat="1" applyFont="1" applyAlignment="1">
      <alignment horizontal="center"/>
    </xf>
    <xf numFmtId="0" fontId="19" fillId="0" borderId="0" xfId="0" applyFont="1" applyAlignment="1">
      <alignment horizontal="left" wrapText="1"/>
    </xf>
    <xf numFmtId="0" fontId="3" fillId="0" borderId="1" xfId="0" applyFont="1" applyFill="1" applyBorder="1" applyAlignment="1">
      <alignment vertical="top" wrapText="1"/>
    </xf>
    <xf numFmtId="3" fontId="8" fillId="0" borderId="4" xfId="0" applyNumberFormat="1" applyFont="1" applyBorder="1" applyProtection="1"/>
    <xf numFmtId="0" fontId="8" fillId="0" borderId="5" xfId="0" applyFont="1" applyBorder="1" applyAlignment="1">
      <alignment horizontal="center" vertical="center" wrapText="1"/>
    </xf>
    <xf numFmtId="3" fontId="3" fillId="0" borderId="1" xfId="1" applyNumberFormat="1" applyFont="1" applyBorder="1" applyAlignment="1">
      <alignment horizontal="right" vertical="center" wrapText="1"/>
    </xf>
    <xf numFmtId="3" fontId="3"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3" fontId="3" fillId="0" borderId="1" xfId="1" applyNumberFormat="1" applyFont="1" applyBorder="1" applyAlignment="1" applyProtection="1">
      <alignment horizontal="right" vertical="center"/>
      <protection locked="0"/>
    </xf>
    <xf numFmtId="0" fontId="2" fillId="0" borderId="1" xfId="2" applyFont="1" applyFill="1" applyBorder="1" applyAlignment="1">
      <alignment horizontal="right" vertical="center" wrapText="1"/>
    </xf>
    <xf numFmtId="3" fontId="2" fillId="0" borderId="1" xfId="0" applyNumberFormat="1" applyFont="1" applyBorder="1" applyAlignment="1">
      <alignment vertical="center"/>
    </xf>
    <xf numFmtId="3" fontId="3" fillId="0" borderId="10" xfId="1" applyNumberFormat="1" applyFont="1" applyFill="1" applyBorder="1" applyAlignment="1">
      <alignment vertical="center" wrapText="1"/>
    </xf>
    <xf numFmtId="0" fontId="17" fillId="0" borderId="0" xfId="0" applyFont="1" applyFill="1" applyAlignment="1" applyProtection="1">
      <alignment horizontal="center" vertical="center" wrapText="1"/>
    </xf>
    <xf numFmtId="0" fontId="1" fillId="0" borderId="0" xfId="0" applyFont="1"/>
    <xf numFmtId="49" fontId="2" fillId="0" borderId="11" xfId="0" applyNumberFormat="1" applyFont="1" applyFill="1" applyBorder="1" applyAlignment="1">
      <alignment vertical="center" wrapText="1"/>
    </xf>
    <xf numFmtId="0" fontId="3" fillId="0" borderId="2" xfId="0" applyFont="1" applyFill="1" applyBorder="1" applyAlignment="1">
      <alignment vertical="top" wrapText="1"/>
    </xf>
    <xf numFmtId="3" fontId="3" fillId="0" borderId="12" xfId="1" applyNumberFormat="1" applyFont="1" applyFill="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2"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protection locked="0"/>
    </xf>
    <xf numFmtId="0" fontId="22" fillId="0" borderId="1" xfId="0" applyFont="1" applyBorder="1" applyAlignment="1">
      <alignment vertical="top" wrapText="1"/>
    </xf>
    <xf numFmtId="168" fontId="2" fillId="0" borderId="1" xfId="0" applyNumberFormat="1" applyFont="1" applyBorder="1" applyAlignment="1">
      <alignment horizontal="center" vertical="center" wrapText="1"/>
    </xf>
    <xf numFmtId="168" fontId="22" fillId="0" borderId="1" xfId="0" applyNumberFormat="1" applyFont="1" applyBorder="1" applyAlignment="1">
      <alignment horizontal="center" vertical="center" wrapText="1"/>
    </xf>
    <xf numFmtId="168" fontId="2" fillId="0" borderId="13" xfId="0" applyNumberFormat="1" applyFont="1" applyBorder="1" applyAlignment="1">
      <alignment horizontal="center" vertical="center" wrapText="1"/>
    </xf>
    <xf numFmtId="0" fontId="2" fillId="0" borderId="13" xfId="0" applyFont="1" applyBorder="1" applyAlignment="1">
      <alignment vertical="top" wrapText="1"/>
    </xf>
    <xf numFmtId="168" fontId="3" fillId="0" borderId="3" xfId="0" applyNumberFormat="1" applyFont="1" applyBorder="1" applyAlignment="1">
      <alignment horizontal="left" vertical="center" wrapText="1"/>
    </xf>
    <xf numFmtId="0" fontId="3" fillId="0" borderId="4" xfId="0" applyFont="1" applyBorder="1" applyAlignment="1">
      <alignment vertical="top" wrapText="1"/>
    </xf>
    <xf numFmtId="168" fontId="2" fillId="0" borderId="2" xfId="0" applyNumberFormat="1" applyFont="1" applyBorder="1" applyAlignment="1">
      <alignment horizontal="center" vertical="center" wrapText="1"/>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6" fillId="0" borderId="4" xfId="0" applyFont="1" applyBorder="1" applyAlignment="1">
      <alignment horizontal="left" vertical="top" wrapText="1"/>
    </xf>
    <xf numFmtId="3" fontId="9" fillId="0" borderId="14" xfId="0" applyNumberFormat="1" applyFont="1" applyBorder="1" applyProtection="1"/>
    <xf numFmtId="3" fontId="3" fillId="0" borderId="4" xfId="0" applyNumberFormat="1" applyFont="1" applyBorder="1" applyProtection="1"/>
    <xf numFmtId="0" fontId="3" fillId="0" borderId="4" xfId="0" applyFont="1" applyBorder="1" applyAlignment="1">
      <alignment horizontal="left" vertical="top" wrapText="1"/>
    </xf>
    <xf numFmtId="3" fontId="2" fillId="0" borderId="13" xfId="0" applyNumberFormat="1" applyFont="1" applyBorder="1" applyProtection="1"/>
    <xf numFmtId="3" fontId="2" fillId="0" borderId="1" xfId="0" applyNumberFormat="1" applyFont="1" applyBorder="1" applyProtection="1"/>
    <xf numFmtId="3" fontId="2" fillId="0" borderId="2" xfId="0" applyNumberFormat="1" applyFont="1" applyBorder="1" applyProtection="1"/>
    <xf numFmtId="0" fontId="12" fillId="0" borderId="0" xfId="0" applyFont="1" applyFill="1" applyProtection="1"/>
    <xf numFmtId="3" fontId="2" fillId="0" borderId="1" xfId="0" applyNumberFormat="1" applyFont="1" applyFill="1" applyBorder="1" applyAlignment="1">
      <alignment horizontal="center" wrapText="1"/>
    </xf>
    <xf numFmtId="0" fontId="19" fillId="0" borderId="1" xfId="0" applyFont="1" applyBorder="1" applyAlignment="1">
      <alignment vertical="center"/>
    </xf>
    <xf numFmtId="49" fontId="19" fillId="0" borderId="0" xfId="0" applyNumberFormat="1" applyFont="1" applyAlignment="1">
      <alignment horizontal="center" wrapText="1"/>
    </xf>
    <xf numFmtId="49" fontId="19" fillId="0" borderId="0" xfId="0" applyNumberFormat="1" applyFont="1" applyAlignment="1">
      <alignment wrapText="1"/>
    </xf>
    <xf numFmtId="49" fontId="29" fillId="0" borderId="1" xfId="0" applyNumberFormat="1" applyFont="1" applyBorder="1" applyAlignment="1">
      <alignment vertical="center" wrapText="1"/>
    </xf>
    <xf numFmtId="0" fontId="29" fillId="0" borderId="1" xfId="0" applyNumberFormat="1" applyFont="1" applyBorder="1" applyAlignment="1">
      <alignment vertical="center" wrapText="1"/>
    </xf>
    <xf numFmtId="3" fontId="2" fillId="0" borderId="1" xfId="1" applyNumberFormat="1" applyFont="1" applyBorder="1" applyAlignment="1">
      <alignment horizontal="right" vertical="center" wrapText="1"/>
    </xf>
    <xf numFmtId="1" fontId="0" fillId="0" borderId="0" xfId="0" applyNumberFormat="1"/>
    <xf numFmtId="0" fontId="0" fillId="0" borderId="1" xfId="0" applyBorder="1" applyAlignment="1">
      <alignment wrapText="1"/>
    </xf>
    <xf numFmtId="0" fontId="0" fillId="0" borderId="1" xfId="0" applyNumberFormat="1" applyBorder="1" applyAlignment="1">
      <alignment wrapText="1"/>
    </xf>
    <xf numFmtId="170" fontId="0" fillId="0" borderId="1" xfId="0" applyNumberFormat="1" applyBorder="1"/>
    <xf numFmtId="0" fontId="22" fillId="0" borderId="13" xfId="0" applyFont="1" applyBorder="1" applyAlignment="1">
      <alignment horizontal="left" vertical="top" wrapText="1"/>
    </xf>
    <xf numFmtId="0" fontId="2" fillId="0" borderId="0" xfId="0" applyFont="1" applyBorder="1" applyAlignment="1">
      <alignment horizontal="center" vertical="center" wrapText="1"/>
    </xf>
    <xf numFmtId="0" fontId="0" fillId="2" borderId="0" xfId="0" applyFill="1"/>
    <xf numFmtId="3" fontId="3" fillId="0" borderId="24" xfId="0" applyNumberFormat="1" applyFont="1" applyBorder="1" applyAlignment="1">
      <alignment horizontal="right"/>
    </xf>
    <xf numFmtId="0" fontId="0" fillId="5" borderId="0" xfId="0" applyFill="1"/>
    <xf numFmtId="0" fontId="31" fillId="0" borderId="0" xfId="0" applyFont="1"/>
    <xf numFmtId="0" fontId="3" fillId="0" borderId="27" xfId="0" applyFont="1" applyBorder="1" applyAlignment="1">
      <alignment wrapText="1"/>
    </xf>
    <xf numFmtId="3" fontId="3" fillId="0" borderId="26" xfId="0" applyNumberFormat="1" applyFont="1" applyBorder="1" applyAlignment="1">
      <alignment horizontal="right" wrapText="1"/>
    </xf>
    <xf numFmtId="0" fontId="2" fillId="0" borderId="26" xfId="0" applyFont="1" applyBorder="1" applyAlignment="1">
      <alignment horizontal="center" wrapText="1"/>
    </xf>
    <xf numFmtId="3" fontId="2" fillId="0" borderId="26" xfId="0" applyNumberFormat="1" applyFont="1" applyBorder="1" applyAlignment="1">
      <alignment horizontal="right" wrapText="1"/>
    </xf>
    <xf numFmtId="0" fontId="3" fillId="0" borderId="25" xfId="0" applyFont="1" applyBorder="1" applyAlignment="1">
      <alignment horizontal="justify" wrapText="1"/>
    </xf>
    <xf numFmtId="3" fontId="3" fillId="0" borderId="25" xfId="0" applyNumberFormat="1" applyFont="1" applyBorder="1" applyAlignment="1">
      <alignment horizontal="right"/>
    </xf>
    <xf numFmtId="0" fontId="2" fillId="0" borderId="23" xfId="0" applyFont="1" applyBorder="1" applyAlignment="1">
      <alignment horizontal="center"/>
    </xf>
    <xf numFmtId="0" fontId="2" fillId="0" borderId="24" xfId="0" applyFont="1" applyBorder="1" applyAlignment="1">
      <alignment horizontal="justify" wrapText="1"/>
    </xf>
    <xf numFmtId="3" fontId="2" fillId="0" borderId="24" xfId="0" applyNumberFormat="1" applyFont="1" applyBorder="1" applyAlignment="1">
      <alignment horizontal="right"/>
    </xf>
    <xf numFmtId="0" fontId="3" fillId="0" borderId="23" xfId="0" applyFont="1" applyBorder="1" applyAlignment="1">
      <alignment horizontal="center"/>
    </xf>
    <xf numFmtId="0" fontId="3" fillId="0" borderId="24" xfId="0" applyFont="1" applyBorder="1" applyAlignment="1">
      <alignment horizontal="justify" wrapText="1"/>
    </xf>
    <xf numFmtId="3" fontId="9" fillId="0" borderId="1" xfId="0" applyNumberFormat="1" applyFont="1" applyBorder="1" applyProtection="1"/>
    <xf numFmtId="0" fontId="2" fillId="0" borderId="1" xfId="2" applyFont="1" applyFill="1" applyBorder="1" applyAlignment="1">
      <alignment horizontal="left" vertical="top" wrapText="1"/>
    </xf>
    <xf numFmtId="0" fontId="2"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2" fillId="0" borderId="1" xfId="2" applyNumberFormat="1" applyFont="1" applyFill="1" applyBorder="1" applyAlignment="1">
      <alignment horizontal="left" vertical="top" wrapText="1"/>
    </xf>
    <xf numFmtId="3" fontId="2" fillId="0" borderId="1" xfId="1" applyNumberFormat="1" applyFont="1" applyBorder="1" applyAlignment="1" applyProtection="1">
      <alignment horizontal="right" vertical="center"/>
      <protection locked="0"/>
    </xf>
    <xf numFmtId="49" fontId="21" fillId="0" borderId="1" xfId="0" applyNumberFormat="1" applyFont="1" applyBorder="1" applyAlignment="1">
      <alignment vertical="center" wrapText="1"/>
    </xf>
    <xf numFmtId="0" fontId="31" fillId="0" borderId="0" xfId="0" applyFont="1" applyAlignment="1">
      <alignment wrapText="1"/>
    </xf>
    <xf numFmtId="0" fontId="31" fillId="0" borderId="1" xfId="0" applyFont="1" applyBorder="1" applyAlignment="1">
      <alignment wrapText="1"/>
    </xf>
    <xf numFmtId="0" fontId="2" fillId="0" borderId="27" xfId="0" applyFont="1" applyBorder="1" applyAlignment="1">
      <alignment horizontal="justify" vertical="center" wrapText="1"/>
    </xf>
    <xf numFmtId="3" fontId="2" fillId="0" borderId="10" xfId="1" applyNumberFormat="1" applyFont="1" applyFill="1" applyBorder="1" applyAlignment="1">
      <alignment vertical="center" wrapText="1"/>
    </xf>
    <xf numFmtId="0" fontId="15" fillId="0" borderId="0" xfId="0" applyFont="1" applyProtection="1"/>
    <xf numFmtId="0" fontId="3" fillId="0" borderId="0" xfId="0" applyFont="1" applyFill="1" applyAlignment="1">
      <alignment horizontal="center"/>
    </xf>
    <xf numFmtId="0" fontId="2" fillId="0" borderId="0" xfId="0" applyFo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9" xfId="0" applyNumberFormat="1" applyFont="1" applyFill="1" applyBorder="1" applyAlignment="1">
      <alignment vertical="center"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3" fontId="2" fillId="0" borderId="12" xfId="1" applyNumberFormat="1" applyFont="1" applyFill="1" applyBorder="1" applyAlignment="1">
      <alignment vertical="center" wrapText="1"/>
    </xf>
    <xf numFmtId="0" fontId="3" fillId="0" borderId="0" xfId="0" applyFont="1" applyFill="1" applyAlignment="1">
      <alignment horizontal="center" vertical="center" wrapText="1"/>
    </xf>
    <xf numFmtId="0" fontId="33" fillId="0" borderId="1" xfId="0" applyFont="1" applyBorder="1" applyAlignment="1">
      <alignment horizontal="left" vertical="top" wrapText="1"/>
    </xf>
    <xf numFmtId="0" fontId="22" fillId="0" borderId="1" xfId="0" applyFont="1" applyBorder="1" applyAlignment="1" applyProtection="1">
      <alignment horizontal="left" vertical="top" wrapText="1"/>
      <protection locked="0"/>
    </xf>
    <xf numFmtId="3" fontId="3" fillId="0" borderId="0" xfId="0" applyNumberFormat="1" applyFont="1"/>
    <xf numFmtId="3" fontId="2" fillId="0" borderId="1" xfId="0" applyNumberFormat="1" applyFont="1" applyBorder="1" applyAlignment="1">
      <alignment horizontal="right"/>
    </xf>
    <xf numFmtId="3" fontId="3" fillId="0" borderId="1" xfId="0" applyNumberFormat="1" applyFont="1" applyBorder="1" applyAlignment="1">
      <alignment horizontal="right"/>
    </xf>
    <xf numFmtId="49" fontId="9" fillId="0" borderId="9" xfId="0" applyNumberFormat="1" applyFont="1" applyFill="1" applyBorder="1" applyAlignment="1">
      <alignment vertical="center" wrapText="1"/>
    </xf>
    <xf numFmtId="0" fontId="9" fillId="0" borderId="1" xfId="0" applyFont="1" applyFill="1" applyBorder="1" applyAlignment="1">
      <alignment vertical="top" wrapText="1"/>
    </xf>
    <xf numFmtId="0" fontId="22" fillId="0" borderId="36" xfId="0" applyFont="1" applyBorder="1" applyAlignment="1">
      <alignment horizontal="center" wrapText="1"/>
    </xf>
    <xf numFmtId="0" fontId="26" fillId="0" borderId="36" xfId="0" applyFont="1" applyBorder="1" applyAlignment="1">
      <alignment wrapText="1"/>
    </xf>
    <xf numFmtId="0" fontId="2" fillId="0" borderId="36" xfId="0" applyFont="1" applyBorder="1" applyAlignment="1">
      <alignment horizontal="left" vertical="top" wrapText="1" indent="3"/>
    </xf>
    <xf numFmtId="0" fontId="2" fillId="0" borderId="23" xfId="0" applyFont="1" applyBorder="1" applyAlignment="1">
      <alignment horizontal="left" vertical="top" wrapText="1" indent="3"/>
    </xf>
    <xf numFmtId="0" fontId="2" fillId="0" borderId="36" xfId="0" applyFont="1" applyBorder="1" applyAlignment="1">
      <alignment horizontal="right" vertical="center" wrapText="1"/>
    </xf>
    <xf numFmtId="0" fontId="26" fillId="0" borderId="36" xfId="0" applyFont="1" applyBorder="1" applyAlignment="1">
      <alignment vertical="top" wrapText="1"/>
    </xf>
    <xf numFmtId="0" fontId="22" fillId="0" borderId="36" xfId="0" applyFont="1" applyBorder="1" applyAlignment="1">
      <alignment horizontal="left" vertical="top" wrapText="1" indent="1"/>
    </xf>
    <xf numFmtId="0" fontId="26" fillId="0" borderId="36" xfId="0" applyFont="1" applyBorder="1" applyAlignment="1">
      <alignment horizontal="left" vertical="top" wrapText="1" indent="1"/>
    </xf>
    <xf numFmtId="0" fontId="2" fillId="0" borderId="23" xfId="0" applyFont="1" applyBorder="1" applyAlignment="1">
      <alignment horizontal="left" vertical="center" wrapText="1"/>
    </xf>
    <xf numFmtId="0" fontId="22" fillId="0" borderId="23" xfId="0" applyFont="1" applyBorder="1" applyAlignment="1">
      <alignment wrapText="1"/>
    </xf>
    <xf numFmtId="172" fontId="22" fillId="0" borderId="24" xfId="0" applyNumberFormat="1" applyFont="1" applyBorder="1" applyAlignment="1">
      <alignment horizontal="right" wrapText="1"/>
    </xf>
    <xf numFmtId="0" fontId="2" fillId="0" borderId="0" xfId="0" applyFont="1" applyAlignment="1">
      <alignment horizontal="justify"/>
    </xf>
    <xf numFmtId="0" fontId="5" fillId="0" borderId="0" xfId="0" applyFont="1" applyFill="1"/>
    <xf numFmtId="3" fontId="2" fillId="0" borderId="13" xfId="0" applyNumberFormat="1" applyFont="1" applyBorder="1" applyAlignment="1">
      <alignment horizontal="left" vertical="top" wrapText="1"/>
    </xf>
    <xf numFmtId="3" fontId="2" fillId="0" borderId="13" xfId="0" applyNumberFormat="1" applyFont="1" applyBorder="1" applyAlignment="1">
      <alignment horizontal="right" vertical="top" wrapText="1"/>
    </xf>
    <xf numFmtId="3" fontId="2" fillId="0" borderId="1" xfId="0" applyNumberFormat="1" applyFont="1" applyBorder="1" applyAlignment="1">
      <alignment horizontal="left" vertical="top" wrapText="1"/>
    </xf>
    <xf numFmtId="3" fontId="2" fillId="6" borderId="1" xfId="0" applyNumberFormat="1" applyFont="1" applyFill="1" applyBorder="1" applyAlignment="1">
      <alignment horizontal="left" vertical="top" wrapText="1"/>
    </xf>
    <xf numFmtId="0" fontId="2" fillId="4" borderId="1" xfId="0" applyFont="1" applyFill="1" applyBorder="1" applyAlignment="1">
      <alignment horizontal="left" vertical="top" wrapText="1"/>
    </xf>
    <xf numFmtId="3" fontId="2" fillId="4" borderId="1" xfId="0" applyNumberFormat="1" applyFont="1" applyFill="1" applyBorder="1" applyAlignment="1">
      <alignment horizontal="left" vertical="top" wrapText="1"/>
    </xf>
    <xf numFmtId="0" fontId="3" fillId="0" borderId="0" xfId="0" applyFont="1" applyAlignment="1">
      <alignment horizontal="left" vertical="top"/>
    </xf>
    <xf numFmtId="3" fontId="2" fillId="6" borderId="1" xfId="0" applyNumberFormat="1" applyFont="1" applyFill="1" applyBorder="1" applyAlignment="1">
      <alignment horizontal="right" vertical="top" wrapText="1"/>
    </xf>
    <xf numFmtId="3" fontId="12" fillId="0" borderId="0" xfId="0" applyNumberFormat="1" applyFont="1" applyProtection="1"/>
    <xf numFmtId="4" fontId="2" fillId="0" borderId="1" xfId="0" applyNumberFormat="1" applyFont="1" applyBorder="1" applyAlignment="1">
      <alignment horizontal="left" vertical="top" wrapText="1"/>
    </xf>
    <xf numFmtId="4" fontId="2" fillId="6" borderId="1" xfId="0" applyNumberFormat="1" applyFont="1" applyFill="1" applyBorder="1" applyAlignment="1">
      <alignment horizontal="left" vertical="top" wrapText="1"/>
    </xf>
    <xf numFmtId="3" fontId="2" fillId="0" borderId="1" xfId="0" applyNumberFormat="1" applyFont="1" applyBorder="1" applyAlignment="1">
      <alignment horizontal="right" vertical="top" wrapText="1"/>
    </xf>
    <xf numFmtId="0" fontId="3" fillId="0" borderId="1" xfId="2" applyNumberFormat="1" applyFont="1" applyFill="1" applyBorder="1" applyAlignment="1">
      <alignment horizontal="left" vertical="top" wrapText="1"/>
    </xf>
    <xf numFmtId="0" fontId="3" fillId="0" borderId="1" xfId="2" applyFont="1" applyFill="1" applyBorder="1" applyAlignment="1" applyProtection="1">
      <alignment horizontal="right" vertical="center" wrapText="1"/>
      <protection locked="0"/>
    </xf>
    <xf numFmtId="3" fontId="2" fillId="6" borderId="13" xfId="0" applyNumberFormat="1" applyFont="1" applyFill="1" applyBorder="1" applyAlignment="1">
      <alignment horizontal="right" vertical="top" wrapText="1"/>
    </xf>
    <xf numFmtId="0" fontId="2" fillId="0" borderId="1" xfId="0" applyFont="1" applyBorder="1" applyAlignment="1">
      <alignment horizontal="center" vertical="center" wrapText="1"/>
    </xf>
    <xf numFmtId="0" fontId="2" fillId="0" borderId="0" xfId="0" applyFont="1" applyAlignment="1">
      <alignment horizontal="center"/>
    </xf>
    <xf numFmtId="167" fontId="34" fillId="0" borderId="1" xfId="0" applyNumberFormat="1" applyFont="1" applyBorder="1" applyAlignment="1">
      <alignment wrapText="1"/>
    </xf>
    <xf numFmtId="167" fontId="34" fillId="0" borderId="0" xfId="0" applyNumberFormat="1" applyFont="1" applyBorder="1" applyAlignment="1">
      <alignment wrapText="1"/>
    </xf>
    <xf numFmtId="167" fontId="35" fillId="0" borderId="0" xfId="0" applyNumberFormat="1" applyFont="1" applyBorder="1" applyAlignment="1">
      <alignment horizontal="left" wrapText="1"/>
    </xf>
    <xf numFmtId="0" fontId="2" fillId="0" borderId="1" xfId="0" applyFont="1" applyBorder="1"/>
    <xf numFmtId="3" fontId="2" fillId="0" borderId="1" xfId="0" applyNumberFormat="1" applyFont="1" applyBorder="1" applyAlignment="1">
      <alignment horizontal="center"/>
    </xf>
    <xf numFmtId="166" fontId="3" fillId="0" borderId="1" xfId="0" applyNumberFormat="1" applyFont="1" applyBorder="1" applyAlignment="1">
      <alignment horizontal="center" vertical="center"/>
    </xf>
    <xf numFmtId="0" fontId="2" fillId="0" borderId="0" xfId="0" applyFont="1" applyBorder="1"/>
    <xf numFmtId="3" fontId="2" fillId="0" borderId="0" xfId="0" applyNumberFormat="1" applyFont="1" applyBorder="1" applyAlignment="1">
      <alignment horizontal="center"/>
    </xf>
    <xf numFmtId="3" fontId="2"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3" fontId="3" fillId="0" borderId="0" xfId="0" applyNumberFormat="1" applyFont="1" applyBorder="1" applyAlignment="1">
      <alignment horizontal="right" vertical="center" wrapText="1"/>
    </xf>
    <xf numFmtId="49" fontId="2" fillId="0" borderId="1" xfId="0" applyNumberFormat="1" applyFont="1" applyBorder="1" applyAlignment="1">
      <alignment horizontal="center" vertical="center" textRotation="90"/>
    </xf>
    <xf numFmtId="49" fontId="2" fillId="0" borderId="1" xfId="0" applyNumberFormat="1" applyFont="1" applyBorder="1" applyAlignment="1">
      <alignment horizontal="center" vertical="center" textRotation="90" wrapText="1"/>
    </xf>
    <xf numFmtId="49" fontId="2" fillId="0" borderId="1" xfId="0" applyNumberFormat="1" applyFont="1" applyBorder="1" applyAlignment="1">
      <alignment horizontal="left" vertical="center" textRotation="90"/>
    </xf>
    <xf numFmtId="49" fontId="3" fillId="0" borderId="1" xfId="0" applyNumberFormat="1" applyFont="1" applyBorder="1" applyAlignment="1">
      <alignment horizontal="center" vertical="justify"/>
    </xf>
    <xf numFmtId="49" fontId="3" fillId="0" borderId="1" xfId="0" applyNumberFormat="1" applyFont="1" applyBorder="1" applyAlignment="1">
      <alignment horizontal="center" vertical="justify" wrapText="1"/>
    </xf>
    <xf numFmtId="49" fontId="2" fillId="0" borderId="1" xfId="0" applyNumberFormat="1" applyFont="1" applyBorder="1" applyAlignment="1">
      <alignment horizontal="center" vertical="justify"/>
    </xf>
    <xf numFmtId="49" fontId="2" fillId="0" borderId="1" xfId="0" applyNumberFormat="1" applyFont="1" applyBorder="1" applyAlignment="1">
      <alignment horizontal="center" vertical="justify" wrapText="1"/>
    </xf>
    <xf numFmtId="49" fontId="26" fillId="0" borderId="1" xfId="0" applyNumberFormat="1" applyFont="1" applyBorder="1" applyAlignment="1">
      <alignment horizontal="center" vertical="justify" wrapText="1"/>
    </xf>
    <xf numFmtId="49" fontId="22" fillId="0" borderId="1" xfId="0" applyNumberFormat="1" applyFont="1" applyBorder="1" applyAlignment="1">
      <alignment horizontal="center" vertical="justify" wrapText="1"/>
    </xf>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0" fontId="2" fillId="0" borderId="0" xfId="0" applyFont="1" applyAlignment="1" applyProtection="1">
      <alignment horizontal="right" wrapText="1"/>
    </xf>
    <xf numFmtId="49" fontId="2" fillId="0" borderId="0" xfId="0" applyNumberFormat="1" applyFont="1" applyAlignment="1" applyProtection="1">
      <alignment horizontal="right"/>
    </xf>
    <xf numFmtId="0" fontId="2" fillId="0" borderId="0" xfId="0" applyFont="1" applyFill="1" applyAlignment="1" applyProtection="1">
      <alignment horizontal="right"/>
    </xf>
    <xf numFmtId="0" fontId="2" fillId="0" borderId="0" xfId="0" applyFont="1" applyFill="1" applyAlignment="1" applyProtection="1">
      <alignment horizontal="right" vertical="center" wrapText="1"/>
    </xf>
    <xf numFmtId="0" fontId="2" fillId="0" borderId="0" xfId="0" applyFont="1" applyAlignment="1" applyProtection="1">
      <alignment wrapText="1"/>
    </xf>
    <xf numFmtId="49" fontId="2" fillId="0" borderId="0" xfId="0" applyNumberFormat="1" applyFont="1" applyAlignment="1" applyProtection="1">
      <alignment horizontal="center"/>
    </xf>
    <xf numFmtId="0" fontId="2" fillId="0" borderId="0" xfId="0" applyFont="1" applyFill="1" applyProtection="1"/>
    <xf numFmtId="0" fontId="2" fillId="0" borderId="0" xfId="0" applyFont="1" applyFill="1" applyAlignment="1" applyProtection="1">
      <alignment horizontal="center" vertical="center" wrapText="1"/>
    </xf>
    <xf numFmtId="3" fontId="2" fillId="0" borderId="1" xfId="0" applyNumberFormat="1" applyFont="1" applyFill="1" applyBorder="1" applyAlignment="1" applyProtection="1">
      <alignment horizontal="right" vertical="center"/>
      <protection locked="0"/>
    </xf>
    <xf numFmtId="3" fontId="3" fillId="0" borderId="1" xfId="0" applyNumberFormat="1" applyFont="1" applyFill="1" applyBorder="1" applyAlignment="1" applyProtection="1">
      <alignment horizontal="right" vertical="center"/>
      <protection locked="0"/>
    </xf>
    <xf numFmtId="0" fontId="2" fillId="0" borderId="1" xfId="0" applyFont="1" applyBorder="1" applyAlignment="1" applyProtection="1">
      <alignment vertical="center" wrapText="1"/>
      <protection locked="0" hidden="1"/>
    </xf>
    <xf numFmtId="49" fontId="2" fillId="0" borderId="1"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top" wrapText="1"/>
      <protection locked="0" hidden="1"/>
    </xf>
    <xf numFmtId="1" fontId="3" fillId="0" borderId="1" xfId="0" applyNumberFormat="1" applyFont="1" applyFill="1" applyBorder="1" applyAlignment="1" applyProtection="1">
      <alignment horizontal="center" vertical="center"/>
      <protection locked="0"/>
    </xf>
    <xf numFmtId="168" fontId="2" fillId="0" borderId="1" xfId="0" applyNumberFormat="1" applyFont="1" applyFill="1" applyBorder="1" applyAlignment="1" applyProtection="1">
      <alignment horizontal="center" vertical="center"/>
      <protection locked="0"/>
    </xf>
    <xf numFmtId="170" fontId="2" fillId="0" borderId="1" xfId="0" applyNumberFormat="1" applyFont="1" applyFill="1" applyBorder="1" applyAlignment="1" applyProtection="1">
      <alignment horizontal="center" vertical="center"/>
      <protection locked="0"/>
    </xf>
    <xf numFmtId="16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indent="2"/>
      <protection locked="0" hidden="1"/>
    </xf>
    <xf numFmtId="1" fontId="2" fillId="0"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68" fontId="2" fillId="0" borderId="1" xfId="0" applyNumberFormat="1" applyFont="1" applyBorder="1" applyAlignment="1" applyProtection="1">
      <alignment horizontal="center" vertical="center"/>
      <protection locked="0"/>
    </xf>
    <xf numFmtId="170" fontId="2" fillId="0" borderId="1" xfId="0" applyNumberFormat="1" applyFont="1" applyBorder="1" applyAlignment="1" applyProtection="1">
      <alignment horizontal="center" vertical="center"/>
      <protection locked="0"/>
    </xf>
    <xf numFmtId="169" fontId="2" fillId="0" borderId="1" xfId="0" applyNumberFormat="1" applyFont="1" applyBorder="1" applyAlignment="1" applyProtection="1">
      <alignment horizontal="center" vertical="center"/>
      <protection locked="0"/>
    </xf>
    <xf numFmtId="170" fontId="2" fillId="0" borderId="1" xfId="0" applyNumberFormat="1" applyFont="1" applyBorder="1" applyAlignment="1" applyProtection="1">
      <alignment horizontal="center" vertical="center" wrapText="1"/>
      <protection locked="0"/>
    </xf>
    <xf numFmtId="0" fontId="36" fillId="0" borderId="1" xfId="0" applyFont="1" applyBorder="1" applyProtection="1">
      <protection locked="0"/>
    </xf>
    <xf numFmtId="1" fontId="2" fillId="0" borderId="1" xfId="0" applyNumberFormat="1" applyFont="1" applyBorder="1" applyAlignment="1" applyProtection="1">
      <alignment horizontal="center" vertical="center" wrapText="1"/>
      <protection locked="0"/>
    </xf>
    <xf numFmtId="169" fontId="2" fillId="0" borderId="1" xfId="0" applyNumberFormat="1" applyFont="1" applyBorder="1" applyAlignment="1" applyProtection="1">
      <alignment horizontal="center" vertical="center" wrapText="1"/>
      <protection locked="0"/>
    </xf>
    <xf numFmtId="168" fontId="2" fillId="0" borderId="1" xfId="0" applyNumberFormat="1" applyFont="1" applyBorder="1" applyAlignment="1" applyProtection="1">
      <alignment horizontal="center" vertical="center" wrapText="1"/>
      <protection locked="0"/>
    </xf>
    <xf numFmtId="170" fontId="4" fillId="0" borderId="1" xfId="0" applyNumberFormat="1" applyFont="1" applyBorder="1" applyAlignment="1" applyProtection="1">
      <alignment horizontal="center" vertical="center"/>
      <protection locked="0"/>
    </xf>
    <xf numFmtId="0" fontId="2" fillId="0" borderId="1" xfId="0" applyFont="1" applyBorder="1" applyProtection="1">
      <protection locked="0"/>
    </xf>
    <xf numFmtId="3" fontId="2" fillId="0" borderId="1" xfId="0" applyNumberFormat="1" applyFont="1" applyFill="1" applyBorder="1" applyProtection="1">
      <protection locked="0"/>
    </xf>
    <xf numFmtId="0" fontId="3" fillId="0" borderId="1" xfId="0" applyFont="1" applyBorder="1" applyProtection="1">
      <protection locked="0"/>
    </xf>
    <xf numFmtId="49" fontId="2" fillId="0" borderId="1"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70" fontId="3" fillId="0" borderId="1" xfId="0" applyNumberFormat="1" applyFont="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170" fontId="3" fillId="0" borderId="1" xfId="0" applyNumberFormat="1" applyFont="1" applyFill="1" applyBorder="1" applyAlignment="1" applyProtection="1">
      <alignment horizontal="center" vertical="center"/>
      <protection locked="0"/>
    </xf>
    <xf numFmtId="0" fontId="3" fillId="0" borderId="41" xfId="0" applyFont="1" applyBorder="1" applyAlignment="1">
      <alignment horizontal="left" vertical="top" wrapText="1"/>
    </xf>
    <xf numFmtId="3" fontId="3" fillId="0" borderId="41" xfId="0" applyNumberFormat="1" applyFont="1" applyBorder="1" applyProtection="1"/>
    <xf numFmtId="168" fontId="3" fillId="0" borderId="40" xfId="0" applyNumberFormat="1" applyFont="1" applyBorder="1" applyAlignment="1">
      <alignment horizontal="left" vertical="center" wrapText="1"/>
    </xf>
    <xf numFmtId="0" fontId="2" fillId="0" borderId="22" xfId="0" applyFont="1" applyBorder="1" applyAlignment="1">
      <alignment horizontal="left" vertical="center" wrapText="1"/>
    </xf>
    <xf numFmtId="0" fontId="4" fillId="0" borderId="1" xfId="0" applyFont="1" applyBorder="1" applyProtection="1">
      <protection locked="0"/>
    </xf>
    <xf numFmtId="0" fontId="32" fillId="0" borderId="1" xfId="0" applyFont="1" applyBorder="1" applyAlignment="1">
      <alignment horizontal="left" vertical="top" wrapText="1"/>
    </xf>
    <xf numFmtId="3" fontId="3" fillId="0" borderId="1" xfId="0" applyNumberFormat="1" applyFont="1" applyBorder="1" applyAlignment="1">
      <alignment horizontal="left" vertical="top" wrapText="1"/>
    </xf>
    <xf numFmtId="3" fontId="3" fillId="0" borderId="1" xfId="0" applyNumberFormat="1" applyFont="1" applyBorder="1" applyAlignment="1">
      <alignment horizontal="right" vertical="top" wrapText="1"/>
    </xf>
    <xf numFmtId="0" fontId="3" fillId="0" borderId="22" xfId="0" applyFont="1" applyBorder="1" applyAlignment="1">
      <alignment horizontal="center"/>
    </xf>
    <xf numFmtId="0" fontId="3" fillId="0" borderId="26" xfId="0" applyFont="1" applyBorder="1" applyAlignment="1">
      <alignment horizontal="center" wrapText="1"/>
    </xf>
    <xf numFmtId="170" fontId="19" fillId="0" borderId="1" xfId="0" applyNumberFormat="1" applyFont="1" applyBorder="1" applyAlignment="1">
      <alignment horizontal="center"/>
    </xf>
    <xf numFmtId="0" fontId="19" fillId="0" borderId="1" xfId="0" applyFont="1" applyBorder="1" applyAlignment="1">
      <alignment horizontal="left" wrapText="1"/>
    </xf>
    <xf numFmtId="0" fontId="31" fillId="0" borderId="1" xfId="0" applyFont="1" applyBorder="1" applyAlignment="1">
      <alignment horizontal="left" wrapText="1"/>
    </xf>
    <xf numFmtId="169" fontId="2" fillId="0" borderId="1" xfId="0" applyNumberFormat="1" applyFont="1" applyBorder="1" applyAlignment="1" applyProtection="1">
      <alignment vertical="center"/>
      <protection locked="0"/>
    </xf>
    <xf numFmtId="0" fontId="14" fillId="0" borderId="1" xfId="0" applyFont="1" applyBorder="1" applyProtection="1"/>
    <xf numFmtId="0" fontId="22" fillId="0" borderId="23" xfId="0" applyFont="1" applyBorder="1" applyAlignment="1">
      <alignment horizontal="center" wrapText="1"/>
    </xf>
    <xf numFmtId="0" fontId="22" fillId="0" borderId="24" xfId="0" applyFont="1" applyBorder="1" applyAlignment="1">
      <alignment horizontal="center" wrapText="1"/>
    </xf>
    <xf numFmtId="0" fontId="2" fillId="0" borderId="0" xfId="0" applyFont="1" applyAlignment="1">
      <alignment horizontal="center"/>
    </xf>
    <xf numFmtId="0" fontId="22" fillId="0" borderId="22" xfId="0" applyFont="1" applyBorder="1" applyAlignment="1">
      <alignment horizontal="center" wrapText="1"/>
    </xf>
    <xf numFmtId="0" fontId="33" fillId="0" borderId="1" xfId="4" applyFont="1" applyBorder="1" applyAlignment="1">
      <alignment horizontal="left" vertical="top" wrapText="1"/>
    </xf>
    <xf numFmtId="3" fontId="2" fillId="0" borderId="1" xfId="4" applyNumberFormat="1" applyFont="1" applyBorder="1" applyAlignment="1">
      <alignment horizontal="right" vertical="top" wrapText="1"/>
    </xf>
    <xf numFmtId="0" fontId="2" fillId="0" borderId="1" xfId="0" applyFont="1" applyBorder="1" applyAlignment="1">
      <alignment horizontal="center" vertical="center" wrapText="1"/>
    </xf>
    <xf numFmtId="0" fontId="3" fillId="0" borderId="26" xfId="0" applyFont="1" applyBorder="1" applyAlignment="1">
      <alignment horizontal="center" wrapText="1"/>
    </xf>
    <xf numFmtId="0" fontId="2" fillId="0" borderId="1" xfId="0" applyFont="1" applyBorder="1" applyAlignment="1">
      <alignment horizontal="center" vertical="center" wrapText="1"/>
    </xf>
    <xf numFmtId="0" fontId="10" fillId="0" borderId="0" xfId="0" applyFont="1" applyFill="1" applyAlignment="1">
      <alignment horizontal="center" vertical="center" wrapText="1"/>
    </xf>
    <xf numFmtId="0" fontId="2" fillId="0" borderId="0" xfId="0" applyFont="1" applyAlignment="1">
      <alignment horizontal="center"/>
    </xf>
    <xf numFmtId="1" fontId="3" fillId="0" borderId="1" xfId="0" applyNumberFormat="1" applyFont="1" applyBorder="1"/>
    <xf numFmtId="0" fontId="22" fillId="0" borderId="28" xfId="0" applyFont="1" applyBorder="1" applyAlignment="1">
      <alignment wrapText="1"/>
    </xf>
    <xf numFmtId="0" fontId="22" fillId="0" borderId="35" xfId="0" applyFont="1" applyBorder="1" applyAlignment="1">
      <alignment wrapText="1"/>
    </xf>
    <xf numFmtId="0" fontId="22" fillId="0" borderId="25" xfId="0" applyFont="1" applyBorder="1" applyAlignment="1">
      <alignment wrapText="1"/>
    </xf>
    <xf numFmtId="0" fontId="2" fillId="0" borderId="42" xfId="0" applyFont="1" applyBorder="1" applyAlignment="1">
      <alignment horizontal="center" wrapText="1"/>
    </xf>
    <xf numFmtId="0" fontId="22" fillId="0" borderId="23" xfId="0" applyFont="1" applyBorder="1" applyAlignment="1">
      <alignment horizontal="center" wrapText="1"/>
    </xf>
    <xf numFmtId="0" fontId="0" fillId="0" borderId="0" xfId="0" applyAlignment="1">
      <alignment horizontal="center"/>
    </xf>
    <xf numFmtId="0" fontId="8" fillId="0" borderId="4" xfId="0" applyFont="1" applyBorder="1" applyAlignment="1">
      <alignment horizontal="center" wrapText="1"/>
    </xf>
    <xf numFmtId="0" fontId="9" fillId="0" borderId="1" xfId="0" applyFont="1" applyBorder="1" applyAlignment="1">
      <alignment horizontal="center" vertical="center" wrapText="1"/>
    </xf>
    <xf numFmtId="167" fontId="37" fillId="0" borderId="1" xfId="0" applyNumberFormat="1" applyFont="1" applyBorder="1" applyAlignment="1">
      <alignment wrapText="1"/>
    </xf>
    <xf numFmtId="3" fontId="0" fillId="0" borderId="1" xfId="0" applyNumberFormat="1" applyBorder="1" applyAlignment="1">
      <alignment horizontal="right"/>
    </xf>
    <xf numFmtId="3" fontId="19" fillId="0" borderId="1" xfId="0" applyNumberFormat="1" applyFont="1" applyFill="1" applyBorder="1" applyAlignment="1">
      <alignment horizontal="right" wrapText="1"/>
    </xf>
    <xf numFmtId="167" fontId="38" fillId="0" borderId="1" xfId="0" applyNumberFormat="1" applyFont="1" applyFill="1" applyBorder="1" applyAlignment="1">
      <alignment wrapText="1"/>
    </xf>
    <xf numFmtId="166" fontId="39" fillId="0" borderId="1" xfId="0" applyNumberFormat="1" applyFont="1" applyBorder="1" applyAlignment="1">
      <alignment vertical="center"/>
    </xf>
    <xf numFmtId="0" fontId="2" fillId="0" borderId="1" xfId="0" applyFont="1" applyBorder="1" applyAlignment="1">
      <alignment horizont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8" xfId="0" applyFont="1" applyBorder="1" applyAlignment="1">
      <alignment horizontal="center" vertical="center" wrapText="1"/>
    </xf>
    <xf numFmtId="167" fontId="37" fillId="0" borderId="9" xfId="0" applyNumberFormat="1" applyFont="1" applyBorder="1" applyAlignment="1">
      <alignment wrapText="1"/>
    </xf>
    <xf numFmtId="3" fontId="31" fillId="0" borderId="1" xfId="0" applyNumberFormat="1" applyFont="1" applyFill="1" applyBorder="1" applyAlignment="1">
      <alignment horizontal="right" vertical="center" wrapText="1"/>
    </xf>
    <xf numFmtId="3" fontId="31" fillId="0" borderId="10" xfId="0" applyNumberFormat="1" applyFont="1" applyBorder="1" applyAlignment="1">
      <alignment horizontal="right" vertical="center"/>
    </xf>
    <xf numFmtId="167" fontId="38" fillId="0" borderId="19" xfId="0" applyNumberFormat="1" applyFont="1" applyFill="1" applyBorder="1" applyAlignment="1">
      <alignment wrapText="1"/>
    </xf>
    <xf numFmtId="3" fontId="40" fillId="0" borderId="20" xfId="0" applyNumberFormat="1" applyFont="1" applyBorder="1" applyAlignment="1">
      <alignment horizontal="right" vertical="center"/>
    </xf>
    <xf numFmtId="3" fontId="40" fillId="0" borderId="21" xfId="0" applyNumberFormat="1" applyFont="1" applyBorder="1" applyAlignment="1">
      <alignment horizontal="right" vertical="center"/>
    </xf>
    <xf numFmtId="0" fontId="2" fillId="0" borderId="15" xfId="0" applyFont="1" applyBorder="1"/>
    <xf numFmtId="167" fontId="34" fillId="0" borderId="31" xfId="0" applyNumberFormat="1" applyFont="1" applyBorder="1" applyAlignment="1">
      <alignment horizontal="left" wrapText="1"/>
    </xf>
    <xf numFmtId="0" fontId="2" fillId="0" borderId="15" xfId="0" applyFont="1" applyFill="1" applyBorder="1"/>
    <xf numFmtId="167" fontId="35" fillId="0" borderId="31" xfId="0" applyNumberFormat="1" applyFont="1" applyFill="1" applyBorder="1" applyAlignment="1">
      <alignment wrapText="1"/>
    </xf>
    <xf numFmtId="0" fontId="2" fillId="3" borderId="0" xfId="0" applyFont="1" applyFill="1"/>
    <xf numFmtId="3" fontId="3" fillId="3" borderId="1" xfId="0" applyNumberFormat="1" applyFont="1" applyFill="1" applyBorder="1"/>
    <xf numFmtId="0" fontId="22" fillId="0" borderId="43" xfId="0" applyFont="1" applyBorder="1" applyAlignment="1">
      <alignment wrapText="1"/>
    </xf>
    <xf numFmtId="0" fontId="2" fillId="0" borderId="39" xfId="0" applyFont="1" applyBorder="1" applyAlignment="1">
      <alignment horizontal="left" vertical="center" wrapText="1"/>
    </xf>
    <xf numFmtId="172" fontId="22" fillId="0" borderId="22" xfId="0" applyNumberFormat="1" applyFont="1" applyBorder="1" applyAlignment="1">
      <alignment horizontal="right" wrapText="1"/>
    </xf>
    <xf numFmtId="171" fontId="3" fillId="0" borderId="1" xfId="3" applyNumberFormat="1" applyFont="1" applyFill="1" applyBorder="1" applyAlignment="1" applyProtection="1">
      <alignment horizontal="right" vertical="center" wrapText="1"/>
      <protection locked="0"/>
    </xf>
    <xf numFmtId="171" fontId="2" fillId="0" borderId="1" xfId="3" applyNumberFormat="1" applyFont="1" applyFill="1" applyBorder="1" applyAlignment="1" applyProtection="1">
      <alignment horizontal="right" vertical="center" wrapText="1"/>
      <protection locked="0"/>
    </xf>
    <xf numFmtId="171" fontId="2" fillId="0" borderId="1" xfId="3" applyNumberFormat="1" applyFont="1" applyFill="1" applyBorder="1" applyAlignment="1" applyProtection="1">
      <alignment horizontal="right" vertical="center"/>
      <protection locked="0"/>
    </xf>
    <xf numFmtId="171" fontId="3" fillId="0" borderId="1" xfId="3" applyNumberFormat="1" applyFont="1" applyBorder="1" applyAlignment="1">
      <alignment horizontal="right" vertical="center"/>
    </xf>
    <xf numFmtId="2" fontId="3" fillId="0" borderId="1" xfId="0" applyNumberFormat="1" applyFont="1" applyBorder="1" applyAlignment="1">
      <alignment horizontal="center" vertical="justify"/>
    </xf>
    <xf numFmtId="2" fontId="26" fillId="0" borderId="1" xfId="0" applyNumberFormat="1" applyFont="1" applyBorder="1" applyAlignment="1">
      <alignment horizontal="center" vertical="justify" wrapText="1"/>
    </xf>
    <xf numFmtId="2" fontId="3" fillId="0" borderId="1" xfId="2" applyNumberFormat="1" applyFont="1" applyFill="1" applyBorder="1" applyAlignment="1">
      <alignment horizontal="left" vertical="top" wrapText="1"/>
    </xf>
    <xf numFmtId="2" fontId="3" fillId="0" borderId="1" xfId="2" applyNumberFormat="1" applyFont="1" applyFill="1" applyBorder="1" applyAlignment="1" applyProtection="1">
      <alignment horizontal="right" vertical="center" wrapText="1"/>
      <protection locked="0"/>
    </xf>
    <xf numFmtId="3" fontId="2" fillId="0" borderId="1" xfId="0" applyNumberFormat="1" applyFont="1" applyBorder="1" applyAlignment="1">
      <alignment horizontal="right" vertical="center" wrapText="1"/>
    </xf>
    <xf numFmtId="3" fontId="31" fillId="0" borderId="1" xfId="0" applyNumberFormat="1" applyFont="1" applyBorder="1" applyAlignment="1">
      <alignment horizontal="right"/>
    </xf>
    <xf numFmtId="3" fontId="31" fillId="0" borderId="1" xfId="0" applyNumberFormat="1" applyFont="1" applyFill="1" applyBorder="1" applyAlignment="1">
      <alignment horizontal="right" wrapText="1"/>
    </xf>
    <xf numFmtId="3" fontId="3" fillId="0" borderId="1" xfId="3" applyNumberFormat="1" applyFont="1" applyBorder="1" applyAlignment="1">
      <alignment horizontal="center" vertical="center"/>
    </xf>
    <xf numFmtId="0" fontId="0" fillId="7" borderId="0" xfId="0" applyFill="1"/>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3" fontId="12" fillId="0" borderId="1" xfId="0" applyNumberFormat="1" applyFont="1" applyFill="1" applyBorder="1" applyProtection="1">
      <protection locked="0"/>
    </xf>
    <xf numFmtId="3" fontId="3" fillId="0" borderId="7" xfId="0" applyNumberFormat="1" applyFont="1" applyBorder="1" applyProtection="1"/>
    <xf numFmtId="0" fontId="22" fillId="0" borderId="22" xfId="0" applyFont="1" applyBorder="1" applyAlignment="1">
      <alignment wrapText="1"/>
    </xf>
    <xf numFmtId="172" fontId="22" fillId="0" borderId="25" xfId="0" applyNumberFormat="1" applyFont="1" applyBorder="1" applyAlignment="1">
      <alignment horizontal="right" wrapText="1"/>
    </xf>
    <xf numFmtId="171" fontId="2" fillId="0" borderId="1" xfId="3" applyNumberFormat="1" applyFont="1" applyBorder="1" applyAlignment="1">
      <alignment horizontal="right" vertical="center"/>
    </xf>
    <xf numFmtId="0" fontId="16" fillId="0" borderId="1" xfId="0" applyFont="1" applyBorder="1" applyProtection="1"/>
    <xf numFmtId="49" fontId="12" fillId="0" borderId="1" xfId="0" applyNumberFormat="1" applyFont="1" applyBorder="1" applyAlignment="1" applyProtection="1">
      <alignment horizontal="center"/>
    </xf>
    <xf numFmtId="0" fontId="2" fillId="0" borderId="1" xfId="0" applyFont="1" applyBorder="1" applyAlignment="1">
      <alignment horizontal="center" vertical="center" wrapText="1"/>
    </xf>
    <xf numFmtId="0" fontId="9" fillId="0" borderId="0" xfId="0" applyFont="1" applyFill="1" applyAlignment="1">
      <alignment horizontal="right"/>
    </xf>
    <xf numFmtId="0" fontId="10" fillId="0" borderId="0" xfId="0" applyFont="1" applyFill="1" applyAlignment="1">
      <alignment horizontal="center" vertical="center" wrapText="1"/>
    </xf>
    <xf numFmtId="0" fontId="5" fillId="0" borderId="1" xfId="0" applyFont="1" applyBorder="1" applyAlignment="1">
      <alignment horizontal="center" wrapText="1"/>
    </xf>
    <xf numFmtId="0" fontId="8" fillId="0" borderId="28" xfId="0" applyFont="1" applyBorder="1" applyAlignment="1">
      <alignment horizontal="left"/>
    </xf>
    <xf numFmtId="0" fontId="8" fillId="0" borderId="29" xfId="0" applyFont="1" applyBorder="1" applyAlignment="1">
      <alignment horizontal="left"/>
    </xf>
    <xf numFmtId="0" fontId="10" fillId="0" borderId="0" xfId="0" applyFont="1" applyAlignment="1">
      <alignment horizontal="center"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3" fillId="0" borderId="0" xfId="0" applyFont="1" applyFill="1" applyAlignment="1">
      <alignment horizontal="center" wrapText="1"/>
    </xf>
    <xf numFmtId="0" fontId="2" fillId="0" borderId="0" xfId="0" applyFont="1" applyFill="1" applyAlignment="1">
      <alignment horizontal="right"/>
    </xf>
    <xf numFmtId="3" fontId="22" fillId="0" borderId="41" xfId="0" applyNumberFormat="1" applyFont="1" applyBorder="1" applyAlignment="1">
      <alignment horizontal="center" wrapText="1"/>
    </xf>
    <xf numFmtId="3" fontId="2" fillId="0" borderId="28" xfId="0" applyNumberFormat="1" applyFont="1" applyBorder="1" applyAlignment="1">
      <alignment horizontal="center" wrapText="1"/>
    </xf>
    <xf numFmtId="3" fontId="2" fillId="0" borderId="35" xfId="0" applyNumberFormat="1" applyFont="1" applyBorder="1" applyAlignment="1">
      <alignment horizontal="center" wrapText="1"/>
    </xf>
    <xf numFmtId="3" fontId="2" fillId="0" borderId="25" xfId="0" applyNumberFormat="1" applyFont="1" applyBorder="1" applyAlignment="1">
      <alignment horizontal="center" wrapText="1"/>
    </xf>
    <xf numFmtId="0" fontId="2" fillId="0" borderId="27" xfId="0" applyFont="1" applyBorder="1" applyAlignment="1">
      <alignment horizontal="justify" shrinkToFit="1"/>
    </xf>
    <xf numFmtId="0" fontId="5" fillId="0" borderId="27" xfId="0" applyFont="1" applyBorder="1" applyAlignment="1">
      <alignment shrinkToFit="1"/>
    </xf>
    <xf numFmtId="3" fontId="2" fillId="0" borderId="28" xfId="0" applyNumberFormat="1" applyFont="1" applyBorder="1" applyAlignment="1">
      <alignment horizontal="right" vertical="center" wrapText="1"/>
    </xf>
    <xf numFmtId="3" fontId="5" fillId="0" borderId="35" xfId="0" applyNumberFormat="1" applyFont="1" applyBorder="1" applyAlignment="1">
      <alignment horizontal="right" vertical="center"/>
    </xf>
    <xf numFmtId="3" fontId="5" fillId="0" borderId="25" xfId="0" applyNumberFormat="1" applyFont="1" applyBorder="1" applyAlignment="1">
      <alignment horizontal="right" vertical="center"/>
    </xf>
    <xf numFmtId="3" fontId="2" fillId="0" borderId="37" xfId="0" applyNumberFormat="1" applyFont="1" applyBorder="1" applyAlignment="1">
      <alignment horizontal="right" vertical="center" wrapText="1"/>
    </xf>
    <xf numFmtId="3" fontId="5" fillId="0" borderId="27" xfId="0" applyNumberFormat="1" applyFont="1" applyBorder="1" applyAlignment="1">
      <alignment horizontal="right" vertical="center"/>
    </xf>
    <xf numFmtId="3" fontId="5" fillId="0" borderId="38" xfId="0" applyNumberFormat="1" applyFont="1" applyBorder="1" applyAlignment="1">
      <alignment horizontal="right" vertical="center"/>
    </xf>
    <xf numFmtId="3" fontId="2"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xf>
    <xf numFmtId="0" fontId="2" fillId="0" borderId="34" xfId="0" applyFont="1" applyBorder="1" applyAlignment="1">
      <alignment horizontal="center" wrapText="1"/>
    </xf>
    <xf numFmtId="0" fontId="22" fillId="0" borderId="28" xfId="0" applyFont="1" applyBorder="1" applyAlignment="1">
      <alignment horizontal="center" wrapText="1"/>
    </xf>
    <xf numFmtId="0" fontId="22" fillId="0" borderId="35" xfId="0" applyFont="1" applyBorder="1" applyAlignment="1">
      <alignment horizontal="center" wrapText="1"/>
    </xf>
    <xf numFmtId="0" fontId="22" fillId="0" borderId="25" xfId="0" applyFont="1" applyBorder="1" applyAlignment="1">
      <alignment horizontal="center" wrapText="1"/>
    </xf>
    <xf numFmtId="3" fontId="22" fillId="0" borderId="28" xfId="0" applyNumberFormat="1" applyFont="1" applyBorder="1" applyAlignment="1">
      <alignment horizontal="center" wrapText="1"/>
    </xf>
    <xf numFmtId="3" fontId="22" fillId="0" borderId="35" xfId="0" applyNumberFormat="1" applyFont="1" applyBorder="1" applyAlignment="1">
      <alignment horizontal="center" wrapText="1"/>
    </xf>
    <xf numFmtId="3" fontId="22" fillId="0" borderId="25" xfId="0" applyNumberFormat="1" applyFont="1" applyBorder="1" applyAlignment="1">
      <alignment horizontal="center" wrapText="1"/>
    </xf>
    <xf numFmtId="3" fontId="2" fillId="0" borderId="39" xfId="0" applyNumberFormat="1" applyFont="1" applyBorder="1" applyAlignment="1">
      <alignment horizontal="right" vertical="center" wrapText="1"/>
    </xf>
    <xf numFmtId="3" fontId="5" fillId="0" borderId="34" xfId="0" applyNumberFormat="1" applyFont="1" applyBorder="1" applyAlignment="1">
      <alignment horizontal="right" vertical="center"/>
    </xf>
    <xf numFmtId="3" fontId="5" fillId="0" borderId="24" xfId="0" applyNumberFormat="1" applyFont="1" applyBorder="1" applyAlignment="1">
      <alignment horizontal="right" vertical="center"/>
    </xf>
    <xf numFmtId="3" fontId="26" fillId="0" borderId="28" xfId="0" applyNumberFormat="1" applyFont="1" applyBorder="1" applyAlignment="1">
      <alignment horizontal="right" wrapText="1"/>
    </xf>
    <xf numFmtId="3" fontId="5" fillId="0" borderId="35" xfId="0" applyNumberFormat="1" applyFont="1" applyBorder="1" applyAlignment="1">
      <alignment horizontal="right"/>
    </xf>
    <xf numFmtId="3" fontId="5" fillId="0" borderId="25" xfId="0" applyNumberFormat="1" applyFont="1" applyBorder="1" applyAlignment="1">
      <alignment horizontal="right"/>
    </xf>
    <xf numFmtId="3" fontId="2" fillId="0" borderId="28" xfId="0" applyNumberFormat="1" applyFont="1" applyBorder="1" applyAlignment="1">
      <alignment horizontal="right" wrapText="1"/>
    </xf>
    <xf numFmtId="3" fontId="22" fillId="0" borderId="28" xfId="0" applyNumberFormat="1" applyFont="1" applyBorder="1" applyAlignment="1">
      <alignment horizontal="right" wrapText="1"/>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horizontal="right"/>
    </xf>
    <xf numFmtId="0" fontId="5" fillId="0" borderId="0" xfId="0" applyFont="1" applyAlignment="1">
      <alignment horizontal="right"/>
    </xf>
    <xf numFmtId="0" fontId="5" fillId="0" borderId="35" xfId="0" applyFont="1" applyBorder="1" applyAlignment="1">
      <alignment horizontal="center"/>
    </xf>
    <xf numFmtId="0" fontId="5" fillId="0" borderId="25" xfId="0" applyFont="1" applyBorder="1" applyAlignment="1">
      <alignment horizontal="center"/>
    </xf>
    <xf numFmtId="0" fontId="3" fillId="0" borderId="0" xfId="0" applyFont="1" applyAlignment="1">
      <alignment horizontal="center" vertical="justify"/>
    </xf>
    <xf numFmtId="0" fontId="5" fillId="0" borderId="0" xfId="0" applyFont="1" applyAlignment="1">
      <alignment horizontal="center" vertical="justify"/>
    </xf>
    <xf numFmtId="0" fontId="2" fillId="0" borderId="0" xfId="0" applyFont="1" applyAlignment="1">
      <alignment horizontal="center" vertical="justify"/>
    </xf>
    <xf numFmtId="0" fontId="2" fillId="0" borderId="34" xfId="0" applyFont="1" applyBorder="1" applyAlignment="1">
      <alignment horizontal="right"/>
    </xf>
    <xf numFmtId="0" fontId="5" fillId="0" borderId="34" xfId="0" applyFont="1" applyBorder="1" applyAlignment="1">
      <alignment horizontal="right"/>
    </xf>
    <xf numFmtId="0" fontId="5" fillId="0" borderId="35" xfId="0" applyFont="1" applyBorder="1" applyAlignment="1"/>
    <xf numFmtId="0" fontId="5" fillId="0" borderId="25" xfId="0" applyFont="1" applyBorder="1" applyAlignment="1"/>
    <xf numFmtId="3" fontId="3" fillId="0" borderId="28" xfId="0" applyNumberFormat="1" applyFont="1" applyBorder="1" applyAlignment="1">
      <alignment horizontal="right" wrapText="1"/>
    </xf>
    <xf numFmtId="0" fontId="3" fillId="0" borderId="0" xfId="0" applyFont="1" applyAlignment="1">
      <alignment horizontal="center"/>
    </xf>
    <xf numFmtId="0" fontId="2" fillId="0" borderId="0" xfId="0" applyFont="1" applyFill="1" applyAlignment="1" applyProtection="1">
      <alignment horizontal="right"/>
    </xf>
    <xf numFmtId="0" fontId="3" fillId="0" borderId="0" xfId="0" applyFont="1" applyAlignment="1" applyProtection="1">
      <alignment horizontal="center" wrapText="1"/>
    </xf>
    <xf numFmtId="0" fontId="2" fillId="0" borderId="15" xfId="0" applyFont="1" applyBorder="1" applyAlignment="1">
      <alignment horizontal="center"/>
    </xf>
    <xf numFmtId="0" fontId="2" fillId="0" borderId="32" xfId="0" applyFont="1" applyBorder="1" applyAlignment="1">
      <alignment horizontal="center"/>
    </xf>
    <xf numFmtId="3" fontId="31" fillId="0" borderId="15" xfId="0" applyNumberFormat="1" applyFont="1" applyBorder="1" applyAlignment="1">
      <alignment horizontal="center"/>
    </xf>
    <xf numFmtId="3" fontId="31" fillId="0" borderId="32" xfId="0" applyNumberFormat="1" applyFont="1" applyBorder="1" applyAlignment="1">
      <alignment horizontal="center"/>
    </xf>
    <xf numFmtId="3" fontId="39" fillId="0" borderId="15" xfId="0" applyNumberFormat="1" applyFont="1" applyBorder="1" applyAlignment="1">
      <alignment horizontal="center"/>
    </xf>
    <xf numFmtId="3" fontId="39" fillId="0" borderId="32" xfId="0" applyNumberFormat="1" applyFont="1"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0" xfId="0" applyAlignment="1">
      <alignment horizontal="center"/>
    </xf>
    <xf numFmtId="0" fontId="3" fillId="0" borderId="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center" wrapText="1"/>
    </xf>
    <xf numFmtId="0" fontId="8" fillId="0" borderId="30" xfId="0" applyFont="1" applyFill="1" applyBorder="1" applyAlignment="1">
      <alignment horizontal="center" vertical="center" wrapText="1"/>
    </xf>
    <xf numFmtId="167" fontId="35" fillId="0" borderId="15" xfId="0" applyNumberFormat="1" applyFont="1" applyBorder="1" applyAlignment="1">
      <alignment horizontal="left" wrapText="1"/>
    </xf>
    <xf numFmtId="167" fontId="35" fillId="0" borderId="32" xfId="0" applyNumberFormat="1" applyFont="1" applyBorder="1" applyAlignment="1">
      <alignment horizontal="left"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5" xfId="0" applyFont="1" applyBorder="1" applyAlignment="1">
      <alignment horizontal="left" vertical="center" wrapText="1"/>
    </xf>
    <xf numFmtId="0" fontId="2" fillId="0" borderId="32" xfId="0" applyFont="1" applyBorder="1" applyAlignment="1">
      <alignment horizontal="left" vertical="center" wrapText="1"/>
    </xf>
    <xf numFmtId="0" fontId="3" fillId="0" borderId="0" xfId="0" applyFont="1" applyAlignment="1">
      <alignment horizontal="left" vertical="top"/>
    </xf>
    <xf numFmtId="167" fontId="34" fillId="0" borderId="15" xfId="0" applyNumberFormat="1" applyFont="1" applyBorder="1" applyAlignment="1">
      <alignment horizontal="left" wrapText="1"/>
    </xf>
    <xf numFmtId="167" fontId="34" fillId="0" borderId="32" xfId="0" applyNumberFormat="1" applyFont="1" applyBorder="1" applyAlignment="1">
      <alignment horizontal="left" wrapText="1"/>
    </xf>
    <xf numFmtId="0" fontId="3" fillId="0" borderId="31" xfId="0" applyFont="1" applyFill="1" applyBorder="1" applyAlignment="1">
      <alignment horizontal="center" vertical="center" wrapText="1"/>
    </xf>
    <xf numFmtId="0" fontId="30" fillId="0" borderId="0" xfId="0" applyFont="1" applyFill="1" applyAlignment="1">
      <alignment horizontal="center" vertical="center" wrapText="1"/>
    </xf>
    <xf numFmtId="167" fontId="35" fillId="0" borderId="15" xfId="0" applyNumberFormat="1" applyFont="1" applyFill="1" applyBorder="1" applyAlignment="1">
      <alignment horizontal="left" wrapText="1"/>
    </xf>
    <xf numFmtId="167" fontId="35" fillId="0" borderId="32" xfId="0" applyNumberFormat="1" applyFont="1" applyFill="1" applyBorder="1" applyAlignment="1">
      <alignment horizontal="left" wrapText="1"/>
    </xf>
    <xf numFmtId="0" fontId="3" fillId="0" borderId="33" xfId="0" applyFont="1" applyFill="1" applyBorder="1" applyAlignment="1">
      <alignment horizontal="center" vertical="center" wrapText="1"/>
    </xf>
    <xf numFmtId="0" fontId="2" fillId="0" borderId="0" xfId="0" applyFont="1" applyBorder="1" applyAlignment="1">
      <alignment horizontal="center"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3" borderId="15" xfId="0" applyFont="1" applyFill="1" applyBorder="1" applyAlignment="1">
      <alignment horizontal="left"/>
    </xf>
    <xf numFmtId="0" fontId="3" fillId="3" borderId="32" xfId="0" applyFont="1" applyFill="1" applyBorder="1" applyAlignment="1">
      <alignment horizontal="left"/>
    </xf>
    <xf numFmtId="0" fontId="3" fillId="0" borderId="18" xfId="0" applyFont="1" applyBorder="1" applyAlignment="1">
      <alignment horizontal="center" wrapText="1"/>
    </xf>
    <xf numFmtId="0" fontId="3" fillId="0" borderId="21" xfId="0" applyFont="1" applyBorder="1" applyAlignment="1">
      <alignment horizontal="center" wrapText="1"/>
    </xf>
    <xf numFmtId="0" fontId="5" fillId="0" borderId="0" xfId="0" applyFont="1" applyFill="1" applyAlignment="1">
      <alignment horizontal="center"/>
    </xf>
    <xf numFmtId="0" fontId="5" fillId="0" borderId="34" xfId="0" applyFont="1" applyFill="1" applyBorder="1" applyAlignment="1">
      <alignment horizontal="center"/>
    </xf>
    <xf numFmtId="0" fontId="3" fillId="0" borderId="16" xfId="0" applyFont="1" applyBorder="1" applyAlignment="1">
      <alignment horizontal="center" wrapText="1"/>
    </xf>
    <xf numFmtId="0" fontId="3" fillId="0" borderId="19" xfId="0" applyFont="1" applyBorder="1" applyAlignment="1">
      <alignment horizontal="center" wrapText="1"/>
    </xf>
    <xf numFmtId="0" fontId="3" fillId="0" borderId="17" xfId="0" applyFont="1" applyBorder="1" applyAlignment="1">
      <alignment horizontal="center" wrapText="1"/>
    </xf>
    <xf numFmtId="0" fontId="3" fillId="0" borderId="20" xfId="0" applyFont="1" applyBorder="1" applyAlignment="1">
      <alignment horizontal="center" wrapText="1"/>
    </xf>
    <xf numFmtId="0" fontId="3" fillId="0" borderId="28" xfId="0" applyFont="1" applyBorder="1" applyAlignment="1">
      <alignment horizontal="center"/>
    </xf>
    <xf numFmtId="0" fontId="3" fillId="0" borderId="25" xfId="0" applyFont="1" applyBorder="1" applyAlignment="1">
      <alignment horizontal="center"/>
    </xf>
    <xf numFmtId="0" fontId="2" fillId="0" borderId="34" xfId="0" applyFont="1" applyBorder="1" applyAlignment="1">
      <alignment horizontal="center"/>
    </xf>
    <xf numFmtId="0" fontId="2" fillId="0" borderId="15" xfId="0" applyFont="1" applyBorder="1" applyAlignment="1">
      <alignment horizontal="left" vertical="top" wrapText="1"/>
    </xf>
    <xf numFmtId="0" fontId="5" fillId="0" borderId="32" xfId="0" applyFont="1" applyBorder="1" applyAlignment="1">
      <alignment horizontal="left"/>
    </xf>
    <xf numFmtId="0" fontId="2" fillId="0" borderId="1" xfId="0" applyFont="1" applyBorder="1" applyAlignment="1">
      <alignment horizontal="left" vertical="top" wrapText="1"/>
    </xf>
    <xf numFmtId="0" fontId="5" fillId="0" borderId="1" xfId="0" applyFont="1" applyBorder="1" applyAlignment="1">
      <alignment horizontal="left"/>
    </xf>
    <xf numFmtId="0" fontId="3" fillId="0" borderId="30" xfId="0" applyFont="1" applyBorder="1" applyAlignment="1">
      <alignment horizontal="center" vertical="center" wrapText="1"/>
    </xf>
    <xf numFmtId="0" fontId="3" fillId="0" borderId="30" xfId="0" applyFont="1" applyBorder="1" applyAlignment="1">
      <alignment horizontal="center" wrapText="1"/>
    </xf>
    <xf numFmtId="0" fontId="2" fillId="0" borderId="15" xfId="0" applyFont="1" applyBorder="1" applyAlignment="1">
      <alignment horizontal="center" vertical="top" wrapText="1"/>
    </xf>
    <xf numFmtId="0" fontId="5" fillId="0" borderId="32" xfId="0" applyFont="1" applyBorder="1" applyAlignment="1"/>
  </cellXfs>
  <cellStyles count="5">
    <cellStyle name="Денежный" xfId="1" builtinId="4"/>
    <cellStyle name="Обычный" xfId="0" builtinId="0"/>
    <cellStyle name="Обычный 2" xfId="4"/>
    <cellStyle name="Обычный_Пр_1" xfId="2"/>
    <cellStyle name="Финансовый" xfId="3" builtinId="3"/>
  </cellStyles>
  <dxfs count="2">
    <dxf>
      <font>
        <b val="0"/>
        <i val="0"/>
        <strike val="0"/>
        <condense val="0"/>
        <extend val="0"/>
        <outline val="0"/>
        <shadow val="0"/>
        <u val="none"/>
        <vertAlign val="baseline"/>
        <sz val="10"/>
        <color indexed="72"/>
        <name val="Arial"/>
        <scheme val="none"/>
      </font>
      <numFmt numFmtId="167" formatCode=";;"/>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indexed="72"/>
        <name val="Arial"/>
        <scheme val="none"/>
      </font>
      <numFmt numFmtId="169" formatCode="000"/>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53"/>
  <sheetViews>
    <sheetView showGridLines="0" view="pageBreakPreview" topLeftCell="A145" zoomScaleNormal="100" zoomScaleSheetLayoutView="100" workbookViewId="0">
      <selection activeCell="J151" sqref="J151"/>
    </sheetView>
  </sheetViews>
  <sheetFormatPr defaultColWidth="9.140625" defaultRowHeight="15" outlineLevelCol="1"/>
  <cols>
    <col min="1" max="1" width="5.140625" style="23" bestFit="1" customWidth="1"/>
    <col min="2" max="3" width="3" style="23" bestFit="1" customWidth="1"/>
    <col min="4" max="4" width="6.85546875" style="23" bestFit="1" customWidth="1"/>
    <col min="5" max="5" width="3" style="23" customWidth="1"/>
    <col min="6" max="6" width="5.85546875" style="25" customWidth="1"/>
    <col min="7" max="7" width="4.85546875" style="23" bestFit="1" customWidth="1"/>
    <col min="8" max="8" width="48.7109375" style="1" customWidth="1"/>
    <col min="9" max="9" width="16.42578125" style="1" hidden="1" customWidth="1" outlineLevel="1"/>
    <col min="10" max="10" width="18.7109375" style="1" customWidth="1" collapsed="1"/>
    <col min="11" max="16384" width="9.140625" style="1"/>
  </cols>
  <sheetData>
    <row r="1" spans="1:10" ht="15.75">
      <c r="F1" s="333" t="s">
        <v>629</v>
      </c>
      <c r="G1" s="333"/>
      <c r="H1" s="333"/>
      <c r="I1" s="333"/>
      <c r="J1" s="333"/>
    </row>
    <row r="2" spans="1:10" ht="15.75">
      <c r="F2" s="333" t="s">
        <v>1052</v>
      </c>
      <c r="G2" s="333"/>
      <c r="H2" s="333"/>
      <c r="I2" s="333"/>
      <c r="J2" s="333"/>
    </row>
    <row r="3" spans="1:10" ht="15.75">
      <c r="F3" s="333" t="s">
        <v>705</v>
      </c>
      <c r="G3" s="333"/>
      <c r="H3" s="333"/>
      <c r="I3" s="333"/>
      <c r="J3" s="333"/>
    </row>
    <row r="4" spans="1:10" ht="15.75">
      <c r="F4" s="333" t="s">
        <v>1213</v>
      </c>
      <c r="G4" s="333"/>
      <c r="H4" s="333"/>
      <c r="I4" s="333"/>
      <c r="J4" s="333"/>
    </row>
    <row r="5" spans="1:10" ht="15.75">
      <c r="F5" s="33"/>
      <c r="G5" s="34"/>
    </row>
    <row r="6" spans="1:10" ht="55.5" customHeight="1">
      <c r="A6" s="334" t="s">
        <v>2277</v>
      </c>
      <c r="B6" s="334"/>
      <c r="C6" s="334"/>
      <c r="D6" s="334"/>
      <c r="E6" s="334"/>
      <c r="F6" s="334"/>
      <c r="G6" s="334"/>
      <c r="H6" s="334"/>
      <c r="I6" s="334"/>
      <c r="J6" s="334"/>
    </row>
    <row r="7" spans="1:10" ht="18.75" hidden="1">
      <c r="F7" s="24"/>
      <c r="G7" s="6"/>
      <c r="H7" s="6"/>
      <c r="I7" s="30"/>
    </row>
    <row r="8" spans="1:10" ht="18.75" hidden="1">
      <c r="F8" s="24"/>
      <c r="G8" s="6"/>
      <c r="H8" s="6"/>
    </row>
    <row r="9" spans="1:10" ht="15" customHeight="1">
      <c r="A9" s="335" t="s">
        <v>1246</v>
      </c>
      <c r="B9" s="335"/>
      <c r="C9" s="335"/>
      <c r="D9" s="335"/>
      <c r="E9" s="335"/>
      <c r="F9" s="335"/>
      <c r="G9" s="335"/>
      <c r="H9" s="332" t="s">
        <v>950</v>
      </c>
      <c r="I9" s="332" t="s">
        <v>2288</v>
      </c>
      <c r="J9" s="332" t="s">
        <v>2276</v>
      </c>
    </row>
    <row r="10" spans="1:10" ht="174">
      <c r="A10" s="202" t="s">
        <v>18</v>
      </c>
      <c r="B10" s="202" t="s">
        <v>19</v>
      </c>
      <c r="C10" s="202" t="s">
        <v>33</v>
      </c>
      <c r="D10" s="203" t="s">
        <v>34</v>
      </c>
      <c r="E10" s="202" t="s">
        <v>933</v>
      </c>
      <c r="F10" s="204" t="s">
        <v>934</v>
      </c>
      <c r="G10" s="203" t="s">
        <v>67</v>
      </c>
      <c r="H10" s="332"/>
      <c r="I10" s="332"/>
      <c r="J10" s="332"/>
    </row>
    <row r="11" spans="1:10" ht="31.5">
      <c r="A11" s="205" t="s">
        <v>68</v>
      </c>
      <c r="B11" s="205" t="s">
        <v>69</v>
      </c>
      <c r="C11" s="205" t="s">
        <v>70</v>
      </c>
      <c r="D11" s="205" t="s">
        <v>71</v>
      </c>
      <c r="E11" s="205" t="s">
        <v>70</v>
      </c>
      <c r="F11" s="206" t="s">
        <v>72</v>
      </c>
      <c r="G11" s="206" t="s">
        <v>68</v>
      </c>
      <c r="H11" s="26" t="s">
        <v>448</v>
      </c>
      <c r="I11" s="68">
        <v>200062477</v>
      </c>
      <c r="J11" s="68">
        <f>J12+J14+J19+J22+J23+J30+J33+J34+J39+J40</f>
        <v>162281639</v>
      </c>
    </row>
    <row r="12" spans="1:10" ht="31.5">
      <c r="A12" s="205" t="s">
        <v>68</v>
      </c>
      <c r="B12" s="205" t="s">
        <v>69</v>
      </c>
      <c r="C12" s="205" t="s">
        <v>262</v>
      </c>
      <c r="D12" s="205" t="s">
        <v>71</v>
      </c>
      <c r="E12" s="205" t="s">
        <v>70</v>
      </c>
      <c r="F12" s="206" t="s">
        <v>72</v>
      </c>
      <c r="G12" s="206" t="s">
        <v>68</v>
      </c>
      <c r="H12" s="27" t="s">
        <v>449</v>
      </c>
      <c r="I12" s="68">
        <v>106710000</v>
      </c>
      <c r="J12" s="68">
        <f>J13</f>
        <v>108978995</v>
      </c>
    </row>
    <row r="13" spans="1:10" ht="31.5">
      <c r="A13" s="207" t="s">
        <v>73</v>
      </c>
      <c r="B13" s="207" t="s">
        <v>69</v>
      </c>
      <c r="C13" s="207" t="s">
        <v>262</v>
      </c>
      <c r="D13" s="207" t="s">
        <v>270</v>
      </c>
      <c r="E13" s="207" t="s">
        <v>262</v>
      </c>
      <c r="F13" s="208" t="s">
        <v>72</v>
      </c>
      <c r="G13" s="208" t="s">
        <v>274</v>
      </c>
      <c r="H13" s="8" t="s">
        <v>1449</v>
      </c>
      <c r="I13" s="70">
        <v>106710000</v>
      </c>
      <c r="J13" s="70">
        <v>108978995</v>
      </c>
    </row>
    <row r="14" spans="1:10" ht="31.5">
      <c r="A14" s="205" t="s">
        <v>68</v>
      </c>
      <c r="B14" s="205" t="s">
        <v>69</v>
      </c>
      <c r="C14" s="205" t="s">
        <v>263</v>
      </c>
      <c r="D14" s="205" t="s">
        <v>71</v>
      </c>
      <c r="E14" s="205" t="s">
        <v>70</v>
      </c>
      <c r="F14" s="206" t="s">
        <v>72</v>
      </c>
      <c r="G14" s="206" t="s">
        <v>68</v>
      </c>
      <c r="H14" s="27" t="s">
        <v>887</v>
      </c>
      <c r="I14" s="68">
        <v>16045000</v>
      </c>
      <c r="J14" s="68">
        <f>J16+J17+J18</f>
        <v>13395025</v>
      </c>
    </row>
    <row r="15" spans="1:10" ht="63" hidden="1">
      <c r="A15" s="207" t="s">
        <v>73</v>
      </c>
      <c r="B15" s="207" t="s">
        <v>69</v>
      </c>
      <c r="C15" s="207" t="s">
        <v>263</v>
      </c>
      <c r="D15" s="207" t="s">
        <v>668</v>
      </c>
      <c r="E15" s="207" t="s">
        <v>269</v>
      </c>
      <c r="F15" s="208" t="s">
        <v>72</v>
      </c>
      <c r="G15" s="208" t="s">
        <v>274</v>
      </c>
      <c r="H15" s="8" t="s">
        <v>513</v>
      </c>
      <c r="I15" s="70">
        <v>-1400000</v>
      </c>
      <c r="J15" s="70" t="e">
        <f>I15+#REF!</f>
        <v>#REF!</v>
      </c>
    </row>
    <row r="16" spans="1:10" ht="31.5">
      <c r="A16" s="207" t="s">
        <v>73</v>
      </c>
      <c r="B16" s="207" t="s">
        <v>69</v>
      </c>
      <c r="C16" s="207" t="s">
        <v>263</v>
      </c>
      <c r="D16" s="207" t="s">
        <v>270</v>
      </c>
      <c r="E16" s="207" t="s">
        <v>269</v>
      </c>
      <c r="F16" s="208" t="s">
        <v>72</v>
      </c>
      <c r="G16" s="208" t="s">
        <v>274</v>
      </c>
      <c r="H16" s="8" t="s">
        <v>226</v>
      </c>
      <c r="I16" s="70">
        <v>15802000</v>
      </c>
      <c r="J16" s="70">
        <v>13151970</v>
      </c>
    </row>
    <row r="17" spans="1:10" ht="31.5">
      <c r="A17" s="207" t="s">
        <v>73</v>
      </c>
      <c r="B17" s="207" t="s">
        <v>69</v>
      </c>
      <c r="C17" s="207" t="s">
        <v>263</v>
      </c>
      <c r="D17" s="207" t="s">
        <v>271</v>
      </c>
      <c r="E17" s="207" t="s">
        <v>262</v>
      </c>
      <c r="F17" s="208" t="s">
        <v>72</v>
      </c>
      <c r="G17" s="208" t="s">
        <v>274</v>
      </c>
      <c r="H17" s="8" t="s">
        <v>631</v>
      </c>
      <c r="I17" s="70">
        <v>43000</v>
      </c>
      <c r="J17" s="70">
        <v>126016</v>
      </c>
    </row>
    <row r="18" spans="1:10" ht="31.5">
      <c r="A18" s="207" t="s">
        <v>73</v>
      </c>
      <c r="B18" s="207" t="s">
        <v>69</v>
      </c>
      <c r="C18" s="207" t="s">
        <v>263</v>
      </c>
      <c r="D18" s="207" t="s">
        <v>953</v>
      </c>
      <c r="E18" s="207" t="s">
        <v>269</v>
      </c>
      <c r="F18" s="208" t="s">
        <v>72</v>
      </c>
      <c r="G18" s="208" t="s">
        <v>274</v>
      </c>
      <c r="H18" s="8" t="s">
        <v>2105</v>
      </c>
      <c r="I18" s="70">
        <v>200000</v>
      </c>
      <c r="J18" s="70">
        <v>117039</v>
      </c>
    </row>
    <row r="19" spans="1:10" ht="31.5">
      <c r="A19" s="205" t="s">
        <v>68</v>
      </c>
      <c r="B19" s="205" t="s">
        <v>69</v>
      </c>
      <c r="C19" s="205" t="s">
        <v>264</v>
      </c>
      <c r="D19" s="205" t="s">
        <v>71</v>
      </c>
      <c r="E19" s="205" t="s">
        <v>70</v>
      </c>
      <c r="F19" s="206" t="s">
        <v>72</v>
      </c>
      <c r="G19" s="206" t="s">
        <v>68</v>
      </c>
      <c r="H19" s="27" t="s">
        <v>233</v>
      </c>
      <c r="I19" s="68">
        <v>3860000</v>
      </c>
      <c r="J19" s="68">
        <f>J20+J21</f>
        <v>4358260</v>
      </c>
    </row>
    <row r="20" spans="1:10" ht="47.25">
      <c r="A20" s="207" t="s">
        <v>73</v>
      </c>
      <c r="B20" s="207" t="s">
        <v>69</v>
      </c>
      <c r="C20" s="207" t="s">
        <v>264</v>
      </c>
      <c r="D20" s="207" t="s">
        <v>271</v>
      </c>
      <c r="E20" s="207" t="s">
        <v>262</v>
      </c>
      <c r="F20" s="208" t="s">
        <v>72</v>
      </c>
      <c r="G20" s="208" t="s">
        <v>274</v>
      </c>
      <c r="H20" s="8" t="s">
        <v>1196</v>
      </c>
      <c r="I20" s="70">
        <v>3800000</v>
      </c>
      <c r="J20" s="70">
        <v>4321844</v>
      </c>
    </row>
    <row r="21" spans="1:10" ht="47.25">
      <c r="A21" s="207" t="s">
        <v>1955</v>
      </c>
      <c r="B21" s="207" t="s">
        <v>69</v>
      </c>
      <c r="C21" s="207" t="s">
        <v>264</v>
      </c>
      <c r="D21" s="207" t="s">
        <v>294</v>
      </c>
      <c r="E21" s="207" t="s">
        <v>262</v>
      </c>
      <c r="F21" s="208" t="s">
        <v>72</v>
      </c>
      <c r="G21" s="208" t="s">
        <v>274</v>
      </c>
      <c r="H21" s="8" t="s">
        <v>568</v>
      </c>
      <c r="I21" s="70">
        <v>60000</v>
      </c>
      <c r="J21" s="70">
        <v>36416</v>
      </c>
    </row>
    <row r="22" spans="1:10" ht="50.25" customHeight="1">
      <c r="A22" s="205" t="s">
        <v>73</v>
      </c>
      <c r="B22" s="205" t="s">
        <v>69</v>
      </c>
      <c r="C22" s="205" t="s">
        <v>507</v>
      </c>
      <c r="D22" s="205" t="s">
        <v>71</v>
      </c>
      <c r="E22" s="205" t="s">
        <v>70</v>
      </c>
      <c r="F22" s="206" t="s">
        <v>72</v>
      </c>
      <c r="G22" s="206" t="s">
        <v>68</v>
      </c>
      <c r="H22" s="27" t="s">
        <v>79</v>
      </c>
      <c r="I22" s="69">
        <v>0</v>
      </c>
      <c r="J22" s="69">
        <v>12783</v>
      </c>
    </row>
    <row r="23" spans="1:10" ht="47.25">
      <c r="A23" s="205" t="s">
        <v>68</v>
      </c>
      <c r="B23" s="205" t="s">
        <v>69</v>
      </c>
      <c r="C23" s="205" t="s">
        <v>265</v>
      </c>
      <c r="D23" s="205" t="s">
        <v>71</v>
      </c>
      <c r="E23" s="205" t="s">
        <v>70</v>
      </c>
      <c r="F23" s="206" t="s">
        <v>72</v>
      </c>
      <c r="G23" s="206" t="s">
        <v>68</v>
      </c>
      <c r="H23" s="27" t="s">
        <v>803</v>
      </c>
      <c r="I23" s="69">
        <v>11886000</v>
      </c>
      <c r="J23" s="69">
        <f>J24+J26</f>
        <v>16117641</v>
      </c>
    </row>
    <row r="24" spans="1:10" ht="94.5">
      <c r="A24" s="207" t="s">
        <v>68</v>
      </c>
      <c r="B24" s="207" t="s">
        <v>69</v>
      </c>
      <c r="C24" s="207" t="s">
        <v>265</v>
      </c>
      <c r="D24" s="207" t="s">
        <v>272</v>
      </c>
      <c r="E24" s="207" t="s">
        <v>70</v>
      </c>
      <c r="F24" s="208" t="s">
        <v>72</v>
      </c>
      <c r="G24" s="208" t="s">
        <v>275</v>
      </c>
      <c r="H24" s="8" t="s">
        <v>1045</v>
      </c>
      <c r="I24" s="70">
        <v>1000</v>
      </c>
      <c r="J24" s="70">
        <f>J25</f>
        <v>1183</v>
      </c>
    </row>
    <row r="25" spans="1:10" ht="94.5">
      <c r="A25" s="207" t="s">
        <v>365</v>
      </c>
      <c r="B25" s="207" t="s">
        <v>69</v>
      </c>
      <c r="C25" s="207" t="s">
        <v>265</v>
      </c>
      <c r="D25" s="207" t="s">
        <v>1046</v>
      </c>
      <c r="E25" s="207" t="s">
        <v>263</v>
      </c>
      <c r="F25" s="208" t="s">
        <v>72</v>
      </c>
      <c r="G25" s="208" t="s">
        <v>275</v>
      </c>
      <c r="H25" s="8" t="s">
        <v>1047</v>
      </c>
      <c r="I25" s="70">
        <v>1000</v>
      </c>
      <c r="J25" s="70">
        <v>1183</v>
      </c>
    </row>
    <row r="26" spans="1:10" s="7" customFormat="1" ht="126">
      <c r="A26" s="207" t="s">
        <v>68</v>
      </c>
      <c r="B26" s="207" t="s">
        <v>69</v>
      </c>
      <c r="C26" s="207" t="s">
        <v>265</v>
      </c>
      <c r="D26" s="207" t="s">
        <v>273</v>
      </c>
      <c r="E26" s="207" t="s">
        <v>70</v>
      </c>
      <c r="F26" s="208" t="s">
        <v>72</v>
      </c>
      <c r="G26" s="208" t="s">
        <v>275</v>
      </c>
      <c r="H26" s="8" t="s">
        <v>437</v>
      </c>
      <c r="I26" s="108">
        <v>11885000</v>
      </c>
      <c r="J26" s="108">
        <f>J27+J29</f>
        <v>16116458</v>
      </c>
    </row>
    <row r="27" spans="1:10" s="7" customFormat="1" ht="110.25">
      <c r="A27" s="207" t="s">
        <v>365</v>
      </c>
      <c r="B27" s="207" t="s">
        <v>69</v>
      </c>
      <c r="C27" s="207" t="s">
        <v>265</v>
      </c>
      <c r="D27" s="207" t="s">
        <v>1981</v>
      </c>
      <c r="E27" s="207" t="s">
        <v>1982</v>
      </c>
      <c r="F27" s="208" t="s">
        <v>72</v>
      </c>
      <c r="G27" s="208" t="s">
        <v>275</v>
      </c>
      <c r="H27" s="8" t="s">
        <v>1983</v>
      </c>
      <c r="I27" s="108">
        <v>5750000</v>
      </c>
      <c r="J27" s="108">
        <v>8021057</v>
      </c>
    </row>
    <row r="28" spans="1:10" s="7" customFormat="1" ht="94.5" hidden="1">
      <c r="A28" s="207" t="s">
        <v>365</v>
      </c>
      <c r="B28" s="207" t="s">
        <v>69</v>
      </c>
      <c r="C28" s="207" t="s">
        <v>265</v>
      </c>
      <c r="D28" s="207" t="s">
        <v>1984</v>
      </c>
      <c r="E28" s="207" t="s">
        <v>263</v>
      </c>
      <c r="F28" s="208" t="s">
        <v>72</v>
      </c>
      <c r="G28" s="208" t="s">
        <v>275</v>
      </c>
      <c r="H28" s="8" t="s">
        <v>1985</v>
      </c>
      <c r="I28" s="108">
        <v>-42945000</v>
      </c>
      <c r="J28" s="108" t="e">
        <f>I28+#REF!</f>
        <v>#REF!</v>
      </c>
    </row>
    <row r="29" spans="1:10" s="7" customFormat="1" ht="47.25">
      <c r="A29" s="207" t="s">
        <v>365</v>
      </c>
      <c r="B29" s="207" t="s">
        <v>69</v>
      </c>
      <c r="C29" s="207" t="s">
        <v>265</v>
      </c>
      <c r="D29" s="207" t="s">
        <v>2116</v>
      </c>
      <c r="E29" s="207" t="s">
        <v>263</v>
      </c>
      <c r="F29" s="208" t="s">
        <v>72</v>
      </c>
      <c r="G29" s="208" t="s">
        <v>275</v>
      </c>
      <c r="H29" s="8" t="s">
        <v>2117</v>
      </c>
      <c r="I29" s="277">
        <v>6135000</v>
      </c>
      <c r="J29" s="108">
        <v>8095401</v>
      </c>
    </row>
    <row r="30" spans="1:10" s="7" customFormat="1" ht="31.5">
      <c r="A30" s="205" t="s">
        <v>68</v>
      </c>
      <c r="B30" s="205" t="s">
        <v>69</v>
      </c>
      <c r="C30" s="205" t="s">
        <v>266</v>
      </c>
      <c r="D30" s="205" t="s">
        <v>71</v>
      </c>
      <c r="E30" s="205" t="s">
        <v>70</v>
      </c>
      <c r="F30" s="206" t="s">
        <v>72</v>
      </c>
      <c r="G30" s="206" t="s">
        <v>68</v>
      </c>
      <c r="H30" s="27" t="s">
        <v>1058</v>
      </c>
      <c r="I30" s="69">
        <v>2836001</v>
      </c>
      <c r="J30" s="69">
        <f>J31+J32</f>
        <v>2628194</v>
      </c>
    </row>
    <row r="31" spans="1:10" ht="31.5">
      <c r="A31" s="207" t="s">
        <v>230</v>
      </c>
      <c r="B31" s="207" t="s">
        <v>69</v>
      </c>
      <c r="C31" s="207" t="s">
        <v>266</v>
      </c>
      <c r="D31" s="207" t="s">
        <v>272</v>
      </c>
      <c r="E31" s="207" t="s">
        <v>262</v>
      </c>
      <c r="F31" s="208" t="s">
        <v>72</v>
      </c>
      <c r="G31" s="208" t="s">
        <v>275</v>
      </c>
      <c r="H31" s="8" t="s">
        <v>59</v>
      </c>
      <c r="I31" s="70">
        <v>2831001</v>
      </c>
      <c r="J31" s="70">
        <v>2622354</v>
      </c>
    </row>
    <row r="32" spans="1:10" ht="69" customHeight="1">
      <c r="A32" s="207" t="s">
        <v>73</v>
      </c>
      <c r="B32" s="207" t="s">
        <v>69</v>
      </c>
      <c r="C32" s="207" t="s">
        <v>266</v>
      </c>
      <c r="D32" s="207" t="s">
        <v>54</v>
      </c>
      <c r="E32" s="207" t="s">
        <v>262</v>
      </c>
      <c r="F32" s="208" t="s">
        <v>72</v>
      </c>
      <c r="G32" s="208" t="s">
        <v>275</v>
      </c>
      <c r="H32" s="8" t="s">
        <v>654</v>
      </c>
      <c r="I32" s="70">
        <v>5000</v>
      </c>
      <c r="J32" s="70">
        <v>5840</v>
      </c>
    </row>
    <row r="33" spans="1:10" ht="36" customHeight="1">
      <c r="A33" s="205" t="s">
        <v>68</v>
      </c>
      <c r="B33" s="205" t="s">
        <v>69</v>
      </c>
      <c r="C33" s="205" t="s">
        <v>2313</v>
      </c>
      <c r="D33" s="205" t="s">
        <v>71</v>
      </c>
      <c r="E33" s="205" t="s">
        <v>70</v>
      </c>
      <c r="F33" s="206" t="s">
        <v>72</v>
      </c>
      <c r="G33" s="206" t="s">
        <v>68</v>
      </c>
      <c r="H33" s="27" t="s">
        <v>2314</v>
      </c>
      <c r="I33" s="69"/>
      <c r="J33" s="69">
        <v>1542089</v>
      </c>
    </row>
    <row r="34" spans="1:10" ht="31.5">
      <c r="A34" s="205" t="s">
        <v>68</v>
      </c>
      <c r="B34" s="205" t="s">
        <v>69</v>
      </c>
      <c r="C34" s="205" t="s">
        <v>267</v>
      </c>
      <c r="D34" s="205" t="s">
        <v>71</v>
      </c>
      <c r="E34" s="205" t="s">
        <v>70</v>
      </c>
      <c r="F34" s="206" t="s">
        <v>72</v>
      </c>
      <c r="G34" s="206" t="s">
        <v>68</v>
      </c>
      <c r="H34" s="27" t="s">
        <v>1452</v>
      </c>
      <c r="I34" s="69">
        <v>55018476</v>
      </c>
      <c r="J34" s="69">
        <f>J35+J36</f>
        <v>12105138</v>
      </c>
    </row>
    <row r="35" spans="1:10" ht="110.25">
      <c r="A35" s="207" t="s">
        <v>68</v>
      </c>
      <c r="B35" s="207" t="s">
        <v>69</v>
      </c>
      <c r="C35" s="207" t="s">
        <v>267</v>
      </c>
      <c r="D35" s="207" t="s">
        <v>270</v>
      </c>
      <c r="E35" s="207" t="s">
        <v>70</v>
      </c>
      <c r="F35" s="208" t="s">
        <v>72</v>
      </c>
      <c r="G35" s="208" t="s">
        <v>68</v>
      </c>
      <c r="H35" s="8" t="s">
        <v>1464</v>
      </c>
      <c r="I35" s="70">
        <v>47000000</v>
      </c>
      <c r="J35" s="70">
        <v>6025520</v>
      </c>
    </row>
    <row r="36" spans="1:10" ht="78.75">
      <c r="A36" s="207" t="s">
        <v>68</v>
      </c>
      <c r="B36" s="207" t="s">
        <v>69</v>
      </c>
      <c r="C36" s="207" t="s">
        <v>267</v>
      </c>
      <c r="D36" s="207" t="s">
        <v>710</v>
      </c>
      <c r="E36" s="207" t="s">
        <v>70</v>
      </c>
      <c r="F36" s="208" t="s">
        <v>72</v>
      </c>
      <c r="G36" s="208" t="s">
        <v>1355</v>
      </c>
      <c r="H36" s="8" t="s">
        <v>1986</v>
      </c>
      <c r="I36" s="70">
        <v>8018476</v>
      </c>
      <c r="J36" s="83">
        <f>J37+J38</f>
        <v>6079618</v>
      </c>
    </row>
    <row r="37" spans="1:10" ht="63">
      <c r="A37" s="207" t="s">
        <v>365</v>
      </c>
      <c r="B37" s="207" t="s">
        <v>69</v>
      </c>
      <c r="C37" s="207" t="s">
        <v>267</v>
      </c>
      <c r="D37" s="207" t="s">
        <v>1987</v>
      </c>
      <c r="E37" s="207" t="s">
        <v>1982</v>
      </c>
      <c r="F37" s="208" t="s">
        <v>72</v>
      </c>
      <c r="G37" s="208" t="s">
        <v>1355</v>
      </c>
      <c r="H37" s="8" t="s">
        <v>1770</v>
      </c>
      <c r="I37" s="70">
        <v>7018476</v>
      </c>
      <c r="J37" s="70">
        <v>6079618</v>
      </c>
    </row>
    <row r="38" spans="1:10" ht="78.75">
      <c r="A38" s="207" t="s">
        <v>365</v>
      </c>
      <c r="B38" s="207" t="s">
        <v>69</v>
      </c>
      <c r="C38" s="207" t="s">
        <v>267</v>
      </c>
      <c r="D38" s="207" t="s">
        <v>1989</v>
      </c>
      <c r="E38" s="207" t="s">
        <v>263</v>
      </c>
      <c r="F38" s="208" t="s">
        <v>72</v>
      </c>
      <c r="G38" s="208" t="s">
        <v>1355</v>
      </c>
      <c r="H38" s="8" t="s">
        <v>1988</v>
      </c>
      <c r="I38" s="70">
        <v>1000000</v>
      </c>
      <c r="J38" s="70">
        <v>0</v>
      </c>
    </row>
    <row r="39" spans="1:10" ht="31.5">
      <c r="A39" s="205" t="s">
        <v>68</v>
      </c>
      <c r="B39" s="205" t="s">
        <v>69</v>
      </c>
      <c r="C39" s="205" t="s">
        <v>268</v>
      </c>
      <c r="D39" s="205" t="s">
        <v>71</v>
      </c>
      <c r="E39" s="205" t="s">
        <v>70</v>
      </c>
      <c r="F39" s="206" t="s">
        <v>72</v>
      </c>
      <c r="G39" s="206" t="s">
        <v>68</v>
      </c>
      <c r="H39" s="28" t="s">
        <v>60</v>
      </c>
      <c r="I39" s="69">
        <v>3457000</v>
      </c>
      <c r="J39" s="69">
        <v>3157310</v>
      </c>
    </row>
    <row r="40" spans="1:10" ht="31.5">
      <c r="A40" s="205" t="s">
        <v>68</v>
      </c>
      <c r="B40" s="205" t="s">
        <v>69</v>
      </c>
      <c r="C40" s="205" t="s">
        <v>1026</v>
      </c>
      <c r="D40" s="205" t="s">
        <v>71</v>
      </c>
      <c r="E40" s="205" t="s">
        <v>70</v>
      </c>
      <c r="F40" s="206" t="s">
        <v>72</v>
      </c>
      <c r="G40" s="206" t="s">
        <v>68</v>
      </c>
      <c r="H40" s="28" t="s">
        <v>1027</v>
      </c>
      <c r="I40" s="69">
        <v>250000</v>
      </c>
      <c r="J40" s="69">
        <v>-13796</v>
      </c>
    </row>
    <row r="41" spans="1:10" ht="31.5">
      <c r="A41" s="205" t="s">
        <v>68</v>
      </c>
      <c r="B41" s="205" t="s">
        <v>261</v>
      </c>
      <c r="C41" s="205" t="s">
        <v>70</v>
      </c>
      <c r="D41" s="205" t="s">
        <v>71</v>
      </c>
      <c r="E41" s="205" t="s">
        <v>70</v>
      </c>
      <c r="F41" s="209" t="s">
        <v>72</v>
      </c>
      <c r="G41" s="209" t="s">
        <v>68</v>
      </c>
      <c r="H41" s="2" t="s">
        <v>1841</v>
      </c>
      <c r="I41" s="69">
        <v>1562836249.95</v>
      </c>
      <c r="J41" s="69">
        <f>J42+J151+J152</f>
        <v>1443145797</v>
      </c>
    </row>
    <row r="42" spans="1:10" ht="47.25">
      <c r="A42" s="205" t="s">
        <v>68</v>
      </c>
      <c r="B42" s="205" t="s">
        <v>261</v>
      </c>
      <c r="C42" s="205" t="s">
        <v>269</v>
      </c>
      <c r="D42" s="205" t="s">
        <v>71</v>
      </c>
      <c r="E42" s="205" t="s">
        <v>70</v>
      </c>
      <c r="F42" s="209" t="s">
        <v>72</v>
      </c>
      <c r="G42" s="209" t="s">
        <v>68</v>
      </c>
      <c r="H42" s="2" t="s">
        <v>299</v>
      </c>
      <c r="I42" s="69">
        <v>1562836249.95</v>
      </c>
      <c r="J42" s="69">
        <f>J43+J49+J102+J137+J148</f>
        <v>1443598516</v>
      </c>
    </row>
    <row r="43" spans="1:10" ht="31.5">
      <c r="A43" s="205" t="s">
        <v>68</v>
      </c>
      <c r="B43" s="205" t="s">
        <v>261</v>
      </c>
      <c r="C43" s="205" t="s">
        <v>269</v>
      </c>
      <c r="D43" s="205" t="s">
        <v>272</v>
      </c>
      <c r="E43" s="205" t="s">
        <v>70</v>
      </c>
      <c r="F43" s="209" t="s">
        <v>72</v>
      </c>
      <c r="G43" s="209" t="s">
        <v>276</v>
      </c>
      <c r="H43" s="2" t="s">
        <v>616</v>
      </c>
      <c r="I43" s="69">
        <v>422542000</v>
      </c>
      <c r="J43" s="69">
        <f>J44+J45+J46+J47+J48</f>
        <v>422542000</v>
      </c>
    </row>
    <row r="44" spans="1:10" ht="47.25">
      <c r="A44" s="207" t="s">
        <v>1100</v>
      </c>
      <c r="B44" s="207" t="s">
        <v>261</v>
      </c>
      <c r="C44" s="207" t="s">
        <v>269</v>
      </c>
      <c r="D44" s="207" t="s">
        <v>810</v>
      </c>
      <c r="E44" s="207" t="s">
        <v>263</v>
      </c>
      <c r="F44" s="210" t="s">
        <v>72</v>
      </c>
      <c r="G44" s="210" t="s">
        <v>276</v>
      </c>
      <c r="H44" s="29" t="s">
        <v>1941</v>
      </c>
      <c r="I44" s="70">
        <v>354626000</v>
      </c>
      <c r="J44" s="70">
        <v>354626000</v>
      </c>
    </row>
    <row r="45" spans="1:10" ht="47.25">
      <c r="A45" s="207" t="s">
        <v>1100</v>
      </c>
      <c r="B45" s="207" t="s">
        <v>261</v>
      </c>
      <c r="C45" s="207" t="s">
        <v>269</v>
      </c>
      <c r="D45" s="207" t="s">
        <v>810</v>
      </c>
      <c r="E45" s="207" t="s">
        <v>263</v>
      </c>
      <c r="F45" s="210" t="s">
        <v>72</v>
      </c>
      <c r="G45" s="210" t="s">
        <v>276</v>
      </c>
      <c r="H45" s="29" t="s">
        <v>1940</v>
      </c>
      <c r="I45" s="70">
        <v>3155000</v>
      </c>
      <c r="J45" s="70">
        <v>3155000</v>
      </c>
    </row>
    <row r="46" spans="1:10" ht="63">
      <c r="A46" s="207" t="s">
        <v>1100</v>
      </c>
      <c r="B46" s="207" t="s">
        <v>261</v>
      </c>
      <c r="C46" s="207" t="s">
        <v>269</v>
      </c>
      <c r="D46" s="207" t="s">
        <v>1939</v>
      </c>
      <c r="E46" s="207" t="s">
        <v>263</v>
      </c>
      <c r="F46" s="210" t="s">
        <v>72</v>
      </c>
      <c r="G46" s="210" t="s">
        <v>276</v>
      </c>
      <c r="H46" s="29" t="s">
        <v>1942</v>
      </c>
      <c r="I46" s="70">
        <v>60982000</v>
      </c>
      <c r="J46" s="70">
        <v>60982000</v>
      </c>
    </row>
    <row r="47" spans="1:10" ht="63">
      <c r="A47" s="207" t="s">
        <v>1100</v>
      </c>
      <c r="B47" s="207" t="s">
        <v>261</v>
      </c>
      <c r="C47" s="207" t="s">
        <v>269</v>
      </c>
      <c r="D47" s="207" t="s">
        <v>1939</v>
      </c>
      <c r="E47" s="207" t="s">
        <v>263</v>
      </c>
      <c r="F47" s="210" t="s">
        <v>72</v>
      </c>
      <c r="G47" s="210" t="s">
        <v>276</v>
      </c>
      <c r="H47" s="29" t="s">
        <v>1943</v>
      </c>
      <c r="I47" s="70">
        <v>1040000</v>
      </c>
      <c r="J47" s="70">
        <v>1040000</v>
      </c>
    </row>
    <row r="48" spans="1:10" ht="94.5">
      <c r="A48" s="207" t="s">
        <v>1948</v>
      </c>
      <c r="B48" s="207" t="s">
        <v>261</v>
      </c>
      <c r="C48" s="207" t="s">
        <v>269</v>
      </c>
      <c r="D48" s="207" t="s">
        <v>2248</v>
      </c>
      <c r="E48" s="207" t="s">
        <v>263</v>
      </c>
      <c r="F48" s="210" t="s">
        <v>72</v>
      </c>
      <c r="G48" s="210" t="s">
        <v>276</v>
      </c>
      <c r="H48" s="29" t="s">
        <v>2249</v>
      </c>
      <c r="I48" s="70">
        <v>2739000</v>
      </c>
      <c r="J48" s="70">
        <v>2739000</v>
      </c>
    </row>
    <row r="49" spans="1:10" ht="47.25">
      <c r="A49" s="205" t="s">
        <v>68</v>
      </c>
      <c r="B49" s="205" t="s">
        <v>261</v>
      </c>
      <c r="C49" s="205" t="s">
        <v>269</v>
      </c>
      <c r="D49" s="205" t="s">
        <v>270</v>
      </c>
      <c r="E49" s="205" t="s">
        <v>70</v>
      </c>
      <c r="F49" s="209" t="s">
        <v>72</v>
      </c>
      <c r="G49" s="209" t="s">
        <v>276</v>
      </c>
      <c r="H49" s="2" t="s">
        <v>1944</v>
      </c>
      <c r="I49" s="69">
        <v>400893298</v>
      </c>
      <c r="J49" s="69">
        <f>SUM(J50:J101)</f>
        <v>341559632</v>
      </c>
    </row>
    <row r="50" spans="1:10" ht="63">
      <c r="A50" s="207" t="s">
        <v>1948</v>
      </c>
      <c r="B50" s="207" t="s">
        <v>261</v>
      </c>
      <c r="C50" s="207" t="s">
        <v>269</v>
      </c>
      <c r="D50" s="207" t="s">
        <v>2156</v>
      </c>
      <c r="E50" s="207" t="s">
        <v>263</v>
      </c>
      <c r="F50" s="210" t="s">
        <v>72</v>
      </c>
      <c r="G50" s="210" t="s">
        <v>276</v>
      </c>
      <c r="H50" s="29" t="s">
        <v>2176</v>
      </c>
      <c r="I50" s="70">
        <v>2680703</v>
      </c>
      <c r="J50" s="70">
        <v>2282906</v>
      </c>
    </row>
    <row r="51" spans="1:10" ht="94.5">
      <c r="A51" s="207" t="s">
        <v>1100</v>
      </c>
      <c r="B51" s="207" t="s">
        <v>261</v>
      </c>
      <c r="C51" s="207" t="s">
        <v>269</v>
      </c>
      <c r="D51" s="207" t="s">
        <v>2150</v>
      </c>
      <c r="E51" s="207" t="s">
        <v>263</v>
      </c>
      <c r="F51" s="210" t="s">
        <v>72</v>
      </c>
      <c r="G51" s="210" t="s">
        <v>276</v>
      </c>
      <c r="H51" s="29" t="s">
        <v>2162</v>
      </c>
      <c r="I51" s="70">
        <v>374000</v>
      </c>
      <c r="J51" s="70">
        <v>374000</v>
      </c>
    </row>
    <row r="52" spans="1:10" ht="204.75">
      <c r="A52" s="207" t="s">
        <v>1100</v>
      </c>
      <c r="B52" s="207" t="s">
        <v>261</v>
      </c>
      <c r="C52" s="207" t="s">
        <v>269</v>
      </c>
      <c r="D52" s="207" t="s">
        <v>2150</v>
      </c>
      <c r="E52" s="207" t="s">
        <v>263</v>
      </c>
      <c r="F52" s="210" t="s">
        <v>72</v>
      </c>
      <c r="G52" s="210" t="s">
        <v>276</v>
      </c>
      <c r="H52" s="29" t="s">
        <v>2163</v>
      </c>
      <c r="I52" s="70">
        <v>10000000</v>
      </c>
      <c r="J52" s="70">
        <v>10000000</v>
      </c>
    </row>
    <row r="53" spans="1:10" ht="37.5" customHeight="1">
      <c r="A53" s="207" t="s">
        <v>1948</v>
      </c>
      <c r="B53" s="207" t="s">
        <v>261</v>
      </c>
      <c r="C53" s="207" t="s">
        <v>269</v>
      </c>
      <c r="D53" s="207" t="s">
        <v>2244</v>
      </c>
      <c r="E53" s="207" t="s">
        <v>263</v>
      </c>
      <c r="F53" s="210" t="s">
        <v>72</v>
      </c>
      <c r="G53" s="210" t="s">
        <v>276</v>
      </c>
      <c r="H53" s="29" t="s">
        <v>2245</v>
      </c>
      <c r="I53" s="70">
        <v>963800</v>
      </c>
      <c r="J53" s="70">
        <v>963800</v>
      </c>
    </row>
    <row r="54" spans="1:10" ht="37.5" customHeight="1">
      <c r="A54" s="207" t="s">
        <v>1954</v>
      </c>
      <c r="B54" s="207" t="s">
        <v>261</v>
      </c>
      <c r="C54" s="207" t="s">
        <v>269</v>
      </c>
      <c r="D54" s="207" t="s">
        <v>2244</v>
      </c>
      <c r="E54" s="207" t="s">
        <v>263</v>
      </c>
      <c r="F54" s="210" t="s">
        <v>72</v>
      </c>
      <c r="G54" s="210" t="s">
        <v>276</v>
      </c>
      <c r="H54" s="29" t="s">
        <v>2245</v>
      </c>
      <c r="I54" s="70">
        <v>54094</v>
      </c>
      <c r="J54" s="70">
        <v>54094</v>
      </c>
    </row>
    <row r="55" spans="1:10" ht="30.75" customHeight="1">
      <c r="A55" s="207" t="s">
        <v>1948</v>
      </c>
      <c r="B55" s="207" t="s">
        <v>261</v>
      </c>
      <c r="C55" s="207" t="s">
        <v>269</v>
      </c>
      <c r="D55" s="207" t="s">
        <v>1951</v>
      </c>
      <c r="E55" s="207" t="s">
        <v>263</v>
      </c>
      <c r="F55" s="210" t="s">
        <v>72</v>
      </c>
      <c r="G55" s="210" t="s">
        <v>276</v>
      </c>
      <c r="H55" s="3" t="s">
        <v>711</v>
      </c>
      <c r="I55" s="70">
        <v>54991000</v>
      </c>
      <c r="J55" s="70">
        <v>46707164</v>
      </c>
    </row>
    <row r="56" spans="1:10" ht="69.75" customHeight="1">
      <c r="A56" s="207" t="s">
        <v>1948</v>
      </c>
      <c r="B56" s="207" t="s">
        <v>261</v>
      </c>
      <c r="C56" s="207" t="s">
        <v>269</v>
      </c>
      <c r="D56" s="207" t="s">
        <v>2315</v>
      </c>
      <c r="E56" s="207" t="s">
        <v>263</v>
      </c>
      <c r="F56" s="210" t="s">
        <v>72</v>
      </c>
      <c r="G56" s="210" t="s">
        <v>276</v>
      </c>
      <c r="H56" s="3" t="s">
        <v>2316</v>
      </c>
      <c r="I56" s="70"/>
      <c r="J56" s="70">
        <v>40062000</v>
      </c>
    </row>
    <row r="57" spans="1:10" ht="69.75" customHeight="1">
      <c r="A57" s="207" t="s">
        <v>1955</v>
      </c>
      <c r="B57" s="207" t="s">
        <v>261</v>
      </c>
      <c r="C57" s="207" t="s">
        <v>269</v>
      </c>
      <c r="D57" s="207" t="s">
        <v>2315</v>
      </c>
      <c r="E57" s="207" t="s">
        <v>263</v>
      </c>
      <c r="F57" s="210" t="s">
        <v>72</v>
      </c>
      <c r="G57" s="210" t="s">
        <v>276</v>
      </c>
      <c r="H57" s="3" t="s">
        <v>2316</v>
      </c>
      <c r="I57" s="70"/>
      <c r="J57" s="70">
        <v>15575040</v>
      </c>
    </row>
    <row r="58" spans="1:10" ht="78.75">
      <c r="A58" s="207" t="s">
        <v>1948</v>
      </c>
      <c r="B58" s="207" t="s">
        <v>261</v>
      </c>
      <c r="C58" s="207" t="s">
        <v>269</v>
      </c>
      <c r="D58" s="207" t="s">
        <v>1967</v>
      </c>
      <c r="E58" s="207" t="s">
        <v>263</v>
      </c>
      <c r="F58" s="210" t="s">
        <v>72</v>
      </c>
      <c r="G58" s="210" t="s">
        <v>276</v>
      </c>
      <c r="H58" s="131" t="s">
        <v>1958</v>
      </c>
      <c r="I58" s="70">
        <v>14237000</v>
      </c>
      <c r="J58" s="70">
        <v>6373400</v>
      </c>
    </row>
    <row r="59" spans="1:10" ht="94.5">
      <c r="A59" s="207" t="s">
        <v>1948</v>
      </c>
      <c r="B59" s="207" t="s">
        <v>261</v>
      </c>
      <c r="C59" s="207" t="s">
        <v>269</v>
      </c>
      <c r="D59" s="207" t="s">
        <v>1967</v>
      </c>
      <c r="E59" s="207" t="s">
        <v>263</v>
      </c>
      <c r="F59" s="210" t="s">
        <v>72</v>
      </c>
      <c r="G59" s="210" t="s">
        <v>276</v>
      </c>
      <c r="H59" s="131" t="s">
        <v>2115</v>
      </c>
      <c r="I59" s="70">
        <v>700000</v>
      </c>
      <c r="J59" s="70">
        <v>328928</v>
      </c>
    </row>
    <row r="60" spans="1:10" ht="85.5" customHeight="1">
      <c r="A60" s="207" t="s">
        <v>1945</v>
      </c>
      <c r="B60" s="207" t="s">
        <v>261</v>
      </c>
      <c r="C60" s="207" t="s">
        <v>269</v>
      </c>
      <c r="D60" s="207" t="s">
        <v>1946</v>
      </c>
      <c r="E60" s="207" t="s">
        <v>263</v>
      </c>
      <c r="F60" s="210" t="s">
        <v>72</v>
      </c>
      <c r="G60" s="210" t="s">
        <v>276</v>
      </c>
      <c r="H60" s="29" t="s">
        <v>1947</v>
      </c>
      <c r="I60" s="70">
        <v>6968075</v>
      </c>
      <c r="J60" s="70">
        <v>6968075</v>
      </c>
    </row>
    <row r="61" spans="1:10" ht="47.25">
      <c r="A61" s="207" t="s">
        <v>1945</v>
      </c>
      <c r="B61" s="207" t="s">
        <v>261</v>
      </c>
      <c r="C61" s="207" t="s">
        <v>269</v>
      </c>
      <c r="D61" s="207" t="s">
        <v>1946</v>
      </c>
      <c r="E61" s="207" t="s">
        <v>263</v>
      </c>
      <c r="F61" s="210" t="s">
        <v>72</v>
      </c>
      <c r="G61" s="210" t="s">
        <v>276</v>
      </c>
      <c r="H61" s="29" t="s">
        <v>2153</v>
      </c>
      <c r="I61" s="70">
        <v>2771758</v>
      </c>
      <c r="J61" s="70">
        <v>2771758</v>
      </c>
    </row>
    <row r="62" spans="1:10" ht="94.5">
      <c r="A62" s="207" t="s">
        <v>1948</v>
      </c>
      <c r="B62" s="207" t="s">
        <v>261</v>
      </c>
      <c r="C62" s="207" t="s">
        <v>269</v>
      </c>
      <c r="D62" s="207" t="s">
        <v>2143</v>
      </c>
      <c r="E62" s="207" t="s">
        <v>263</v>
      </c>
      <c r="F62" s="210" t="s">
        <v>2199</v>
      </c>
      <c r="G62" s="210" t="s">
        <v>276</v>
      </c>
      <c r="H62" s="29" t="s">
        <v>2221</v>
      </c>
      <c r="I62" s="70">
        <v>4884700</v>
      </c>
      <c r="J62" s="70">
        <v>4884700</v>
      </c>
    </row>
    <row r="63" spans="1:10" ht="126">
      <c r="A63" s="207" t="s">
        <v>1955</v>
      </c>
      <c r="B63" s="207" t="s">
        <v>261</v>
      </c>
      <c r="C63" s="207" t="s">
        <v>269</v>
      </c>
      <c r="D63" s="207" t="s">
        <v>2143</v>
      </c>
      <c r="E63" s="207" t="s">
        <v>263</v>
      </c>
      <c r="F63" s="210" t="s">
        <v>2144</v>
      </c>
      <c r="G63" s="210" t="s">
        <v>276</v>
      </c>
      <c r="H63" s="29" t="s">
        <v>2145</v>
      </c>
      <c r="I63" s="70">
        <v>48134580</v>
      </c>
      <c r="J63" s="70">
        <v>17807488</v>
      </c>
    </row>
    <row r="64" spans="1:10" ht="47.25">
      <c r="A64" s="207" t="s">
        <v>1948</v>
      </c>
      <c r="B64" s="207" t="s">
        <v>261</v>
      </c>
      <c r="C64" s="207" t="s">
        <v>269</v>
      </c>
      <c r="D64" s="207" t="s">
        <v>2146</v>
      </c>
      <c r="E64" s="207" t="s">
        <v>263</v>
      </c>
      <c r="F64" s="210" t="s">
        <v>2199</v>
      </c>
      <c r="G64" s="210" t="s">
        <v>276</v>
      </c>
      <c r="H64" s="29" t="s">
        <v>2200</v>
      </c>
      <c r="I64" s="70">
        <v>3703958</v>
      </c>
      <c r="J64" s="70">
        <v>3703958</v>
      </c>
    </row>
    <row r="65" spans="1:10" ht="78.75">
      <c r="A65" s="207" t="s">
        <v>1955</v>
      </c>
      <c r="B65" s="207" t="s">
        <v>261</v>
      </c>
      <c r="C65" s="207" t="s">
        <v>269</v>
      </c>
      <c r="D65" s="207" t="s">
        <v>2146</v>
      </c>
      <c r="E65" s="207" t="s">
        <v>263</v>
      </c>
      <c r="F65" s="210" t="s">
        <v>2144</v>
      </c>
      <c r="G65" s="210" t="s">
        <v>276</v>
      </c>
      <c r="H65" s="29" t="s">
        <v>2147</v>
      </c>
      <c r="I65" s="70">
        <v>21441510</v>
      </c>
      <c r="J65" s="70">
        <v>21406730</v>
      </c>
    </row>
    <row r="66" spans="1:10" ht="31.5">
      <c r="A66" s="207" t="s">
        <v>1954</v>
      </c>
      <c r="B66" s="207" t="s">
        <v>261</v>
      </c>
      <c r="C66" s="207" t="s">
        <v>269</v>
      </c>
      <c r="D66" s="207" t="s">
        <v>2148</v>
      </c>
      <c r="E66" s="207" t="s">
        <v>263</v>
      </c>
      <c r="F66" s="210" t="s">
        <v>72</v>
      </c>
      <c r="G66" s="210" t="s">
        <v>276</v>
      </c>
      <c r="H66" s="29" t="s">
        <v>2149</v>
      </c>
      <c r="I66" s="70">
        <v>4997989</v>
      </c>
      <c r="J66" s="70">
        <v>4997988</v>
      </c>
    </row>
    <row r="67" spans="1:10" ht="54" customHeight="1">
      <c r="A67" s="207" t="s">
        <v>1948</v>
      </c>
      <c r="B67" s="207" t="s">
        <v>261</v>
      </c>
      <c r="C67" s="207" t="s">
        <v>269</v>
      </c>
      <c r="D67" s="207" t="s">
        <v>2229</v>
      </c>
      <c r="E67" s="207" t="s">
        <v>263</v>
      </c>
      <c r="F67" s="210" t="s">
        <v>72</v>
      </c>
      <c r="G67" s="210" t="s">
        <v>276</v>
      </c>
      <c r="H67" s="29" t="s">
        <v>2230</v>
      </c>
      <c r="I67" s="70">
        <v>16936595</v>
      </c>
      <c r="J67" s="70">
        <v>9828255</v>
      </c>
    </row>
    <row r="68" spans="1:10" ht="31.5">
      <c r="A68" s="207" t="s">
        <v>1954</v>
      </c>
      <c r="B68" s="207" t="s">
        <v>261</v>
      </c>
      <c r="C68" s="207" t="s">
        <v>269</v>
      </c>
      <c r="D68" s="207" t="s">
        <v>2225</v>
      </c>
      <c r="E68" s="207" t="s">
        <v>263</v>
      </c>
      <c r="F68" s="210" t="s">
        <v>72</v>
      </c>
      <c r="G68" s="210" t="s">
        <v>276</v>
      </c>
      <c r="H68" s="29" t="s">
        <v>2226</v>
      </c>
      <c r="I68" s="70">
        <v>440257</v>
      </c>
      <c r="J68" s="70">
        <v>440257</v>
      </c>
    </row>
    <row r="69" spans="1:10" ht="31.5">
      <c r="A69" s="207" t="s">
        <v>1950</v>
      </c>
      <c r="B69" s="207" t="s">
        <v>261</v>
      </c>
      <c r="C69" s="207" t="s">
        <v>269</v>
      </c>
      <c r="D69" s="207" t="s">
        <v>1966</v>
      </c>
      <c r="E69" s="207" t="s">
        <v>263</v>
      </c>
      <c r="F69" s="210" t="s">
        <v>2227</v>
      </c>
      <c r="G69" s="210" t="s">
        <v>276</v>
      </c>
      <c r="H69" s="29" t="s">
        <v>2228</v>
      </c>
      <c r="I69" s="70">
        <v>180000</v>
      </c>
      <c r="J69" s="70">
        <v>180000</v>
      </c>
    </row>
    <row r="70" spans="1:10" ht="31.5">
      <c r="A70" s="207" t="s">
        <v>1950</v>
      </c>
      <c r="B70" s="207" t="s">
        <v>261</v>
      </c>
      <c r="C70" s="207" t="s">
        <v>269</v>
      </c>
      <c r="D70" s="207" t="s">
        <v>1966</v>
      </c>
      <c r="E70" s="207" t="s">
        <v>263</v>
      </c>
      <c r="F70" s="210" t="s">
        <v>2108</v>
      </c>
      <c r="G70" s="210" t="s">
        <v>276</v>
      </c>
      <c r="H70" s="131" t="s">
        <v>2109</v>
      </c>
      <c r="I70" s="70">
        <v>6648800</v>
      </c>
      <c r="J70" s="70">
        <v>6648800</v>
      </c>
    </row>
    <row r="71" spans="1:10" ht="63">
      <c r="A71" s="207" t="s">
        <v>1954</v>
      </c>
      <c r="B71" s="207" t="s">
        <v>261</v>
      </c>
      <c r="C71" s="207" t="s">
        <v>269</v>
      </c>
      <c r="D71" s="207" t="s">
        <v>1966</v>
      </c>
      <c r="E71" s="207" t="s">
        <v>263</v>
      </c>
      <c r="F71" s="210" t="s">
        <v>2071</v>
      </c>
      <c r="G71" s="210" t="s">
        <v>276</v>
      </c>
      <c r="H71" s="131" t="s">
        <v>369</v>
      </c>
      <c r="I71" s="70">
        <v>815000</v>
      </c>
      <c r="J71" s="70">
        <v>815000</v>
      </c>
    </row>
    <row r="72" spans="1:10" ht="63">
      <c r="A72" s="207" t="s">
        <v>1950</v>
      </c>
      <c r="B72" s="207" t="s">
        <v>261</v>
      </c>
      <c r="C72" s="207" t="s">
        <v>269</v>
      </c>
      <c r="D72" s="207" t="s">
        <v>1966</v>
      </c>
      <c r="E72" s="207" t="s">
        <v>263</v>
      </c>
      <c r="F72" s="210" t="s">
        <v>2110</v>
      </c>
      <c r="G72" s="210" t="s">
        <v>276</v>
      </c>
      <c r="H72" s="131" t="s">
        <v>1500</v>
      </c>
      <c r="I72" s="70">
        <v>20000</v>
      </c>
      <c r="J72" s="70">
        <v>20000</v>
      </c>
    </row>
    <row r="73" spans="1:10" ht="47.25">
      <c r="A73" s="207" t="s">
        <v>1950</v>
      </c>
      <c r="B73" s="207" t="s">
        <v>261</v>
      </c>
      <c r="C73" s="207" t="s">
        <v>269</v>
      </c>
      <c r="D73" s="207" t="s">
        <v>1966</v>
      </c>
      <c r="E73" s="207" t="s">
        <v>263</v>
      </c>
      <c r="F73" s="210" t="s">
        <v>2111</v>
      </c>
      <c r="G73" s="210" t="s">
        <v>276</v>
      </c>
      <c r="H73" s="29" t="s">
        <v>2112</v>
      </c>
      <c r="I73" s="70">
        <v>150000</v>
      </c>
      <c r="J73" s="70">
        <v>150000</v>
      </c>
    </row>
    <row r="74" spans="1:10" ht="47.25">
      <c r="A74" s="207" t="s">
        <v>1950</v>
      </c>
      <c r="B74" s="207" t="s">
        <v>261</v>
      </c>
      <c r="C74" s="207" t="s">
        <v>269</v>
      </c>
      <c r="D74" s="207" t="s">
        <v>1966</v>
      </c>
      <c r="E74" s="207" t="s">
        <v>263</v>
      </c>
      <c r="F74" s="210" t="s">
        <v>2064</v>
      </c>
      <c r="G74" s="210" t="s">
        <v>276</v>
      </c>
      <c r="H74" s="29" t="s">
        <v>2118</v>
      </c>
      <c r="I74" s="70">
        <v>7700623</v>
      </c>
      <c r="J74" s="70">
        <v>7665112</v>
      </c>
    </row>
    <row r="75" spans="1:10" ht="47.25">
      <c r="A75" s="207" t="s">
        <v>1950</v>
      </c>
      <c r="B75" s="207" t="s">
        <v>261</v>
      </c>
      <c r="C75" s="207" t="s">
        <v>269</v>
      </c>
      <c r="D75" s="207" t="s">
        <v>1966</v>
      </c>
      <c r="E75" s="207" t="s">
        <v>263</v>
      </c>
      <c r="F75" s="210" t="s">
        <v>2065</v>
      </c>
      <c r="G75" s="210" t="s">
        <v>276</v>
      </c>
      <c r="H75" s="3" t="s">
        <v>648</v>
      </c>
      <c r="I75" s="70">
        <v>50000</v>
      </c>
      <c r="J75" s="70">
        <v>50000</v>
      </c>
    </row>
    <row r="76" spans="1:10" ht="63">
      <c r="A76" s="207" t="s">
        <v>1954</v>
      </c>
      <c r="B76" s="207" t="s">
        <v>261</v>
      </c>
      <c r="C76" s="207" t="s">
        <v>269</v>
      </c>
      <c r="D76" s="207" t="s">
        <v>1966</v>
      </c>
      <c r="E76" s="207" t="s">
        <v>263</v>
      </c>
      <c r="F76" s="210" t="s">
        <v>2066</v>
      </c>
      <c r="G76" s="210" t="s">
        <v>276</v>
      </c>
      <c r="H76" s="3" t="s">
        <v>1949</v>
      </c>
      <c r="I76" s="70">
        <v>6532000</v>
      </c>
      <c r="J76" s="70">
        <v>6057000</v>
      </c>
    </row>
    <row r="77" spans="1:10" ht="31.5">
      <c r="A77" s="207" t="s">
        <v>1950</v>
      </c>
      <c r="B77" s="207" t="s">
        <v>261</v>
      </c>
      <c r="C77" s="207" t="s">
        <v>269</v>
      </c>
      <c r="D77" s="207" t="s">
        <v>1966</v>
      </c>
      <c r="E77" s="207" t="s">
        <v>263</v>
      </c>
      <c r="F77" s="210" t="s">
        <v>2067</v>
      </c>
      <c r="G77" s="210" t="s">
        <v>276</v>
      </c>
      <c r="H77" s="3" t="s">
        <v>2120</v>
      </c>
      <c r="I77" s="83">
        <v>313180</v>
      </c>
      <c r="J77" s="70">
        <v>313180</v>
      </c>
    </row>
    <row r="78" spans="1:10" ht="63">
      <c r="A78" s="207" t="s">
        <v>1954</v>
      </c>
      <c r="B78" s="207" t="s">
        <v>261</v>
      </c>
      <c r="C78" s="207" t="s">
        <v>269</v>
      </c>
      <c r="D78" s="207" t="s">
        <v>1966</v>
      </c>
      <c r="E78" s="207" t="s">
        <v>263</v>
      </c>
      <c r="F78" s="210" t="s">
        <v>2069</v>
      </c>
      <c r="G78" s="210" t="s">
        <v>276</v>
      </c>
      <c r="H78" s="3" t="s">
        <v>321</v>
      </c>
      <c r="I78" s="70">
        <v>2000000</v>
      </c>
      <c r="J78" s="70">
        <v>0</v>
      </c>
    </row>
    <row r="79" spans="1:10" ht="94.5">
      <c r="A79" s="207" t="s">
        <v>1954</v>
      </c>
      <c r="B79" s="207" t="s">
        <v>261</v>
      </c>
      <c r="C79" s="207" t="s">
        <v>269</v>
      </c>
      <c r="D79" s="207" t="s">
        <v>1966</v>
      </c>
      <c r="E79" s="207" t="s">
        <v>263</v>
      </c>
      <c r="F79" s="210" t="s">
        <v>2075</v>
      </c>
      <c r="G79" s="210" t="s">
        <v>276</v>
      </c>
      <c r="H79" s="131" t="s">
        <v>1956</v>
      </c>
      <c r="I79" s="70">
        <v>1200000</v>
      </c>
      <c r="J79" s="70">
        <v>1200000</v>
      </c>
    </row>
    <row r="80" spans="1:10" ht="110.25">
      <c r="A80" s="207" t="s">
        <v>1948</v>
      </c>
      <c r="B80" s="207" t="s">
        <v>261</v>
      </c>
      <c r="C80" s="207" t="s">
        <v>269</v>
      </c>
      <c r="D80" s="207" t="s">
        <v>1966</v>
      </c>
      <c r="E80" s="207" t="s">
        <v>263</v>
      </c>
      <c r="F80" s="210" t="s">
        <v>2077</v>
      </c>
      <c r="G80" s="210" t="s">
        <v>276</v>
      </c>
      <c r="H80" s="131" t="s">
        <v>1957</v>
      </c>
      <c r="I80" s="70">
        <v>3500000</v>
      </c>
      <c r="J80" s="70">
        <v>3500000</v>
      </c>
    </row>
    <row r="81" spans="1:10" ht="63">
      <c r="A81" s="207" t="s">
        <v>1950</v>
      </c>
      <c r="B81" s="207" t="s">
        <v>261</v>
      </c>
      <c r="C81" s="207" t="s">
        <v>269</v>
      </c>
      <c r="D81" s="207" t="s">
        <v>1966</v>
      </c>
      <c r="E81" s="207" t="s">
        <v>263</v>
      </c>
      <c r="F81" s="210" t="s">
        <v>2078</v>
      </c>
      <c r="G81" s="210" t="s">
        <v>276</v>
      </c>
      <c r="H81" s="3" t="s">
        <v>259</v>
      </c>
      <c r="I81" s="70">
        <v>1285000</v>
      </c>
      <c r="J81" s="70">
        <v>1285000</v>
      </c>
    </row>
    <row r="82" spans="1:10" ht="47.25">
      <c r="A82" s="207" t="s">
        <v>1950</v>
      </c>
      <c r="B82" s="207" t="s">
        <v>261</v>
      </c>
      <c r="C82" s="207" t="s">
        <v>269</v>
      </c>
      <c r="D82" s="207" t="s">
        <v>1966</v>
      </c>
      <c r="E82" s="207" t="s">
        <v>263</v>
      </c>
      <c r="F82" s="210" t="s">
        <v>2079</v>
      </c>
      <c r="G82" s="210" t="s">
        <v>276</v>
      </c>
      <c r="H82" s="131" t="s">
        <v>2119</v>
      </c>
      <c r="I82" s="72">
        <v>340000</v>
      </c>
      <c r="J82" s="70">
        <v>340000</v>
      </c>
    </row>
    <row r="83" spans="1:10" ht="63">
      <c r="A83" s="207" t="s">
        <v>1950</v>
      </c>
      <c r="B83" s="207" t="s">
        <v>261</v>
      </c>
      <c r="C83" s="207" t="s">
        <v>269</v>
      </c>
      <c r="D83" s="207" t="s">
        <v>1966</v>
      </c>
      <c r="E83" s="207" t="s">
        <v>263</v>
      </c>
      <c r="F83" s="210" t="s">
        <v>2073</v>
      </c>
      <c r="G83" s="210" t="s">
        <v>276</v>
      </c>
      <c r="H83" s="131" t="s">
        <v>1604</v>
      </c>
      <c r="I83" s="70">
        <v>219996</v>
      </c>
      <c r="J83" s="70">
        <v>219996</v>
      </c>
    </row>
    <row r="84" spans="1:10" ht="126">
      <c r="A84" s="207" t="s">
        <v>1955</v>
      </c>
      <c r="B84" s="207" t="s">
        <v>261</v>
      </c>
      <c r="C84" s="207" t="s">
        <v>269</v>
      </c>
      <c r="D84" s="207" t="s">
        <v>1966</v>
      </c>
      <c r="E84" s="207" t="s">
        <v>263</v>
      </c>
      <c r="F84" s="210" t="s">
        <v>2154</v>
      </c>
      <c r="G84" s="210" t="s">
        <v>276</v>
      </c>
      <c r="H84" s="131" t="s">
        <v>2155</v>
      </c>
      <c r="I84" s="83">
        <v>134000</v>
      </c>
      <c r="J84" s="70">
        <v>134000</v>
      </c>
    </row>
    <row r="85" spans="1:10" ht="63">
      <c r="A85" s="207" t="s">
        <v>365</v>
      </c>
      <c r="B85" s="207" t="s">
        <v>261</v>
      </c>
      <c r="C85" s="207" t="s">
        <v>269</v>
      </c>
      <c r="D85" s="207" t="s">
        <v>1966</v>
      </c>
      <c r="E85" s="207" t="s">
        <v>263</v>
      </c>
      <c r="F85" s="210" t="s">
        <v>2113</v>
      </c>
      <c r="G85" s="210" t="s">
        <v>276</v>
      </c>
      <c r="H85" s="8" t="s">
        <v>2114</v>
      </c>
      <c r="I85" s="83">
        <v>28000</v>
      </c>
      <c r="J85" s="70">
        <v>27948</v>
      </c>
    </row>
    <row r="86" spans="1:10" ht="63">
      <c r="A86" s="207" t="s">
        <v>1955</v>
      </c>
      <c r="B86" s="207" t="s">
        <v>261</v>
      </c>
      <c r="C86" s="207" t="s">
        <v>269</v>
      </c>
      <c r="D86" s="207" t="s">
        <v>1966</v>
      </c>
      <c r="E86" s="207" t="s">
        <v>263</v>
      </c>
      <c r="F86" s="210" t="s">
        <v>2081</v>
      </c>
      <c r="G86" s="210" t="s">
        <v>276</v>
      </c>
      <c r="H86" s="131" t="s">
        <v>1960</v>
      </c>
      <c r="I86" s="72">
        <v>127250</v>
      </c>
      <c r="J86" s="70">
        <v>127195</v>
      </c>
    </row>
    <row r="87" spans="1:10" ht="94.5">
      <c r="A87" s="207" t="s">
        <v>1955</v>
      </c>
      <c r="B87" s="207" t="s">
        <v>261</v>
      </c>
      <c r="C87" s="207" t="s">
        <v>269</v>
      </c>
      <c r="D87" s="207" t="s">
        <v>1966</v>
      </c>
      <c r="E87" s="207" t="s">
        <v>263</v>
      </c>
      <c r="F87" s="210" t="s">
        <v>2188</v>
      </c>
      <c r="G87" s="210" t="s">
        <v>276</v>
      </c>
      <c r="H87" s="8" t="s">
        <v>2189</v>
      </c>
      <c r="I87" s="83">
        <v>47700</v>
      </c>
      <c r="J87" s="70">
        <v>47700</v>
      </c>
    </row>
    <row r="88" spans="1:10" ht="79.5" customHeight="1">
      <c r="A88" s="207" t="s">
        <v>1950</v>
      </c>
      <c r="B88" s="207" t="s">
        <v>261</v>
      </c>
      <c r="C88" s="207" t="s">
        <v>269</v>
      </c>
      <c r="D88" s="207" t="s">
        <v>1966</v>
      </c>
      <c r="E88" s="207" t="s">
        <v>263</v>
      </c>
      <c r="F88" s="210" t="s">
        <v>2190</v>
      </c>
      <c r="G88" s="210" t="s">
        <v>276</v>
      </c>
      <c r="H88" s="131" t="s">
        <v>2191</v>
      </c>
      <c r="I88" s="72">
        <v>48000</v>
      </c>
      <c r="J88" s="70">
        <v>48000</v>
      </c>
    </row>
    <row r="89" spans="1:10" ht="31.5">
      <c r="A89" s="207" t="s">
        <v>1954</v>
      </c>
      <c r="B89" s="207" t="s">
        <v>261</v>
      </c>
      <c r="C89" s="207" t="s">
        <v>269</v>
      </c>
      <c r="D89" s="207" t="s">
        <v>1966</v>
      </c>
      <c r="E89" s="207" t="s">
        <v>263</v>
      </c>
      <c r="F89" s="210" t="s">
        <v>2068</v>
      </c>
      <c r="G89" s="210" t="s">
        <v>276</v>
      </c>
      <c r="H89" s="3" t="s">
        <v>1953</v>
      </c>
      <c r="I89" s="83">
        <v>40406000</v>
      </c>
      <c r="J89" s="70">
        <v>40406000</v>
      </c>
    </row>
    <row r="90" spans="1:10" ht="63">
      <c r="A90" s="207" t="s">
        <v>1954</v>
      </c>
      <c r="B90" s="207" t="s">
        <v>261</v>
      </c>
      <c r="C90" s="207" t="s">
        <v>269</v>
      </c>
      <c r="D90" s="207" t="s">
        <v>1966</v>
      </c>
      <c r="E90" s="207" t="s">
        <v>263</v>
      </c>
      <c r="F90" s="210" t="s">
        <v>2076</v>
      </c>
      <c r="G90" s="210" t="s">
        <v>276</v>
      </c>
      <c r="H90" s="131" t="s">
        <v>1186</v>
      </c>
      <c r="I90" s="70">
        <v>389000</v>
      </c>
      <c r="J90" s="70">
        <v>389000</v>
      </c>
    </row>
    <row r="91" spans="1:10" ht="110.25">
      <c r="A91" s="207" t="s">
        <v>1954</v>
      </c>
      <c r="B91" s="207" t="s">
        <v>261</v>
      </c>
      <c r="C91" s="207" t="s">
        <v>269</v>
      </c>
      <c r="D91" s="207" t="s">
        <v>1966</v>
      </c>
      <c r="E91" s="207" t="s">
        <v>263</v>
      </c>
      <c r="F91" s="210" t="s">
        <v>2072</v>
      </c>
      <c r="G91" s="210" t="s">
        <v>276</v>
      </c>
      <c r="H91" s="131" t="s">
        <v>510</v>
      </c>
      <c r="I91" s="70">
        <v>2060000</v>
      </c>
      <c r="J91" s="70">
        <v>2060000</v>
      </c>
    </row>
    <row r="92" spans="1:10" ht="47.25">
      <c r="A92" s="207" t="s">
        <v>1954</v>
      </c>
      <c r="B92" s="207" t="s">
        <v>261</v>
      </c>
      <c r="C92" s="207" t="s">
        <v>269</v>
      </c>
      <c r="D92" s="207" t="s">
        <v>1966</v>
      </c>
      <c r="E92" s="207" t="s">
        <v>263</v>
      </c>
      <c r="F92" s="210" t="s">
        <v>2080</v>
      </c>
      <c r="G92" s="210" t="s">
        <v>276</v>
      </c>
      <c r="H92" s="131" t="s">
        <v>1959</v>
      </c>
      <c r="I92" s="72">
        <v>1640390</v>
      </c>
      <c r="J92" s="70">
        <v>0</v>
      </c>
    </row>
    <row r="93" spans="1:10" ht="47.25">
      <c r="A93" s="207" t="s">
        <v>1100</v>
      </c>
      <c r="B93" s="207" t="s">
        <v>261</v>
      </c>
      <c r="C93" s="207" t="s">
        <v>269</v>
      </c>
      <c r="D93" s="207" t="s">
        <v>1966</v>
      </c>
      <c r="E93" s="207" t="s">
        <v>263</v>
      </c>
      <c r="F93" s="210" t="s">
        <v>2070</v>
      </c>
      <c r="G93" s="210" t="s">
        <v>276</v>
      </c>
      <c r="H93" s="131" t="s">
        <v>368</v>
      </c>
      <c r="I93" s="70">
        <v>287000</v>
      </c>
      <c r="J93" s="70">
        <v>287000</v>
      </c>
    </row>
    <row r="94" spans="1:10" ht="94.5">
      <c r="A94" s="207" t="s">
        <v>1961</v>
      </c>
      <c r="B94" s="207" t="s">
        <v>261</v>
      </c>
      <c r="C94" s="207" t="s">
        <v>269</v>
      </c>
      <c r="D94" s="207" t="s">
        <v>1966</v>
      </c>
      <c r="E94" s="207" t="s">
        <v>263</v>
      </c>
      <c r="F94" s="210" t="s">
        <v>2074</v>
      </c>
      <c r="G94" s="210" t="s">
        <v>276</v>
      </c>
      <c r="H94" s="131" t="s">
        <v>1585</v>
      </c>
      <c r="I94" s="70">
        <v>1000000</v>
      </c>
      <c r="J94" s="70">
        <v>1000000</v>
      </c>
    </row>
    <row r="95" spans="1:10" ht="78.75">
      <c r="A95" s="207" t="s">
        <v>1948</v>
      </c>
      <c r="B95" s="207" t="s">
        <v>261</v>
      </c>
      <c r="C95" s="207" t="s">
        <v>269</v>
      </c>
      <c r="D95" s="207" t="s">
        <v>1966</v>
      </c>
      <c r="E95" s="207" t="s">
        <v>263</v>
      </c>
      <c r="F95" s="210" t="s">
        <v>2129</v>
      </c>
      <c r="G95" s="210" t="s">
        <v>276</v>
      </c>
      <c r="H95" s="131" t="s">
        <v>2130</v>
      </c>
      <c r="I95" s="70">
        <v>59500000</v>
      </c>
      <c r="J95" s="70">
        <v>59500000</v>
      </c>
    </row>
    <row r="96" spans="1:10" ht="78.75">
      <c r="A96" s="207" t="s">
        <v>1100</v>
      </c>
      <c r="B96" s="207" t="s">
        <v>261</v>
      </c>
      <c r="C96" s="207" t="s">
        <v>269</v>
      </c>
      <c r="D96" s="207" t="s">
        <v>1966</v>
      </c>
      <c r="E96" s="207" t="s">
        <v>263</v>
      </c>
      <c r="F96" s="210" t="s">
        <v>2159</v>
      </c>
      <c r="G96" s="210" t="s">
        <v>276</v>
      </c>
      <c r="H96" s="131" t="s">
        <v>2160</v>
      </c>
      <c r="I96" s="70">
        <v>370000</v>
      </c>
      <c r="J96" s="70">
        <v>370000</v>
      </c>
    </row>
    <row r="97" spans="1:10" ht="47.25">
      <c r="A97" s="207" t="s">
        <v>1950</v>
      </c>
      <c r="B97" s="207" t="s">
        <v>261</v>
      </c>
      <c r="C97" s="207" t="s">
        <v>269</v>
      </c>
      <c r="D97" s="207" t="s">
        <v>1966</v>
      </c>
      <c r="E97" s="207" t="s">
        <v>263</v>
      </c>
      <c r="F97" s="210" t="s">
        <v>2157</v>
      </c>
      <c r="G97" s="210" t="s">
        <v>276</v>
      </c>
      <c r="H97" s="131" t="s">
        <v>2158</v>
      </c>
      <c r="I97" s="70">
        <v>1500000</v>
      </c>
      <c r="J97" s="70">
        <v>1500000</v>
      </c>
    </row>
    <row r="98" spans="1:10" ht="47.25">
      <c r="A98" s="207" t="s">
        <v>1955</v>
      </c>
      <c r="B98" s="207" t="s">
        <v>261</v>
      </c>
      <c r="C98" s="207" t="s">
        <v>269</v>
      </c>
      <c r="D98" s="207" t="s">
        <v>1966</v>
      </c>
      <c r="E98" s="207" t="s">
        <v>263</v>
      </c>
      <c r="F98" s="210" t="s">
        <v>2185</v>
      </c>
      <c r="G98" s="210" t="s">
        <v>276</v>
      </c>
      <c r="H98" s="131" t="s">
        <v>2172</v>
      </c>
      <c r="I98" s="70">
        <v>200000</v>
      </c>
      <c r="J98" s="70">
        <v>200000</v>
      </c>
    </row>
    <row r="99" spans="1:10" ht="47.25">
      <c r="A99" s="207" t="s">
        <v>1100</v>
      </c>
      <c r="B99" s="207" t="s">
        <v>261</v>
      </c>
      <c r="C99" s="207" t="s">
        <v>269</v>
      </c>
      <c r="D99" s="207" t="s">
        <v>1966</v>
      </c>
      <c r="E99" s="207" t="s">
        <v>263</v>
      </c>
      <c r="F99" s="210" t="s">
        <v>2184</v>
      </c>
      <c r="G99" s="210" t="s">
        <v>276</v>
      </c>
      <c r="H99" s="131" t="s">
        <v>2183</v>
      </c>
      <c r="I99" s="70">
        <v>2212000</v>
      </c>
      <c r="J99" s="70">
        <v>2212000</v>
      </c>
    </row>
    <row r="100" spans="1:10" ht="78.75">
      <c r="A100" s="207" t="s">
        <v>1954</v>
      </c>
      <c r="B100" s="207" t="s">
        <v>261</v>
      </c>
      <c r="C100" s="207" t="s">
        <v>269</v>
      </c>
      <c r="D100" s="207" t="s">
        <v>1966</v>
      </c>
      <c r="E100" s="207" t="s">
        <v>263</v>
      </c>
      <c r="F100" s="210" t="s">
        <v>2192</v>
      </c>
      <c r="G100" s="210" t="s">
        <v>276</v>
      </c>
      <c r="H100" s="131" t="s">
        <v>2193</v>
      </c>
      <c r="I100" s="70">
        <v>72300</v>
      </c>
      <c r="J100" s="70">
        <v>72300</v>
      </c>
    </row>
    <row r="101" spans="1:10" ht="47.25">
      <c r="A101" s="207" t="s">
        <v>1948</v>
      </c>
      <c r="B101" s="207" t="s">
        <v>261</v>
      </c>
      <c r="C101" s="207" t="s">
        <v>269</v>
      </c>
      <c r="D101" s="207" t="s">
        <v>1966</v>
      </c>
      <c r="E101" s="207" t="s">
        <v>263</v>
      </c>
      <c r="F101" s="210" t="s">
        <v>2220</v>
      </c>
      <c r="G101" s="210" t="s">
        <v>276</v>
      </c>
      <c r="H101" s="131" t="s">
        <v>2182</v>
      </c>
      <c r="I101" s="70">
        <v>10000000</v>
      </c>
      <c r="J101" s="70">
        <v>9203860</v>
      </c>
    </row>
    <row r="102" spans="1:10" s="4" customFormat="1" ht="31.5">
      <c r="A102" s="205" t="s">
        <v>68</v>
      </c>
      <c r="B102" s="205" t="s">
        <v>261</v>
      </c>
      <c r="C102" s="205" t="s">
        <v>269</v>
      </c>
      <c r="D102" s="205" t="s">
        <v>271</v>
      </c>
      <c r="E102" s="205" t="s">
        <v>70</v>
      </c>
      <c r="F102" s="209" t="s">
        <v>72</v>
      </c>
      <c r="G102" s="209" t="s">
        <v>276</v>
      </c>
      <c r="H102" s="44" t="s">
        <v>314</v>
      </c>
      <c r="I102" s="69">
        <v>602949672</v>
      </c>
      <c r="J102" s="69">
        <f>SUM(J103:J136)</f>
        <v>598778080</v>
      </c>
    </row>
    <row r="103" spans="1:10" s="4" customFormat="1" ht="63">
      <c r="A103" s="207" t="s">
        <v>1961</v>
      </c>
      <c r="B103" s="207" t="s">
        <v>261</v>
      </c>
      <c r="C103" s="207" t="s">
        <v>269</v>
      </c>
      <c r="D103" s="207" t="s">
        <v>1975</v>
      </c>
      <c r="E103" s="207" t="s">
        <v>263</v>
      </c>
      <c r="F103" s="210" t="s">
        <v>72</v>
      </c>
      <c r="G103" s="210" t="s">
        <v>276</v>
      </c>
      <c r="H103" s="8" t="s">
        <v>675</v>
      </c>
      <c r="I103" s="70">
        <v>24277000</v>
      </c>
      <c r="J103" s="70">
        <v>23377200</v>
      </c>
    </row>
    <row r="104" spans="1:10" s="4" customFormat="1" ht="31.5">
      <c r="A104" s="207" t="s">
        <v>1955</v>
      </c>
      <c r="B104" s="207" t="s">
        <v>261</v>
      </c>
      <c r="C104" s="207" t="s">
        <v>269</v>
      </c>
      <c r="D104" s="207" t="s">
        <v>1969</v>
      </c>
      <c r="E104" s="207" t="s">
        <v>263</v>
      </c>
      <c r="F104" s="210" t="s">
        <v>72</v>
      </c>
      <c r="G104" s="210" t="s">
        <v>276</v>
      </c>
      <c r="H104" s="8" t="s">
        <v>1529</v>
      </c>
      <c r="I104" s="70">
        <v>2654000</v>
      </c>
      <c r="J104" s="70">
        <v>2654000</v>
      </c>
    </row>
    <row r="105" spans="1:10" s="4" customFormat="1" ht="78.75">
      <c r="A105" s="207" t="s">
        <v>1961</v>
      </c>
      <c r="B105" s="207" t="s">
        <v>261</v>
      </c>
      <c r="C105" s="207" t="s">
        <v>269</v>
      </c>
      <c r="D105" s="207" t="s">
        <v>1974</v>
      </c>
      <c r="E105" s="207" t="s">
        <v>263</v>
      </c>
      <c r="F105" s="210" t="s">
        <v>72</v>
      </c>
      <c r="G105" s="210" t="s">
        <v>276</v>
      </c>
      <c r="H105" s="8" t="s">
        <v>1425</v>
      </c>
      <c r="I105" s="70">
        <v>3861219</v>
      </c>
      <c r="J105" s="70">
        <v>3861077</v>
      </c>
    </row>
    <row r="106" spans="1:10" s="4" customFormat="1" ht="69" customHeight="1">
      <c r="A106" s="207" t="s">
        <v>1961</v>
      </c>
      <c r="B106" s="207" t="s">
        <v>261</v>
      </c>
      <c r="C106" s="207" t="s">
        <v>269</v>
      </c>
      <c r="D106" s="207" t="s">
        <v>2257</v>
      </c>
      <c r="E106" s="207" t="s">
        <v>263</v>
      </c>
      <c r="F106" s="210" t="s">
        <v>72</v>
      </c>
      <c r="G106" s="210" t="s">
        <v>276</v>
      </c>
      <c r="H106" s="8" t="s">
        <v>2258</v>
      </c>
      <c r="I106" s="70">
        <v>12500</v>
      </c>
      <c r="J106" s="70">
        <v>12178</v>
      </c>
    </row>
    <row r="107" spans="1:10" s="4" customFormat="1" ht="47.25">
      <c r="A107" s="207" t="s">
        <v>1100</v>
      </c>
      <c r="B107" s="207" t="s">
        <v>261</v>
      </c>
      <c r="C107" s="207" t="s">
        <v>269</v>
      </c>
      <c r="D107" s="207" t="s">
        <v>1968</v>
      </c>
      <c r="E107" s="207" t="s">
        <v>263</v>
      </c>
      <c r="F107" s="210" t="s">
        <v>72</v>
      </c>
      <c r="G107" s="210" t="s">
        <v>276</v>
      </c>
      <c r="H107" s="8" t="s">
        <v>1032</v>
      </c>
      <c r="I107" s="70">
        <v>675000</v>
      </c>
      <c r="J107" s="70">
        <v>675000</v>
      </c>
    </row>
    <row r="108" spans="1:10" s="4" customFormat="1" ht="47.25">
      <c r="A108" s="207" t="s">
        <v>1954</v>
      </c>
      <c r="B108" s="207" t="s">
        <v>261</v>
      </c>
      <c r="C108" s="207" t="s">
        <v>269</v>
      </c>
      <c r="D108" s="207" t="s">
        <v>1971</v>
      </c>
      <c r="E108" s="207" t="s">
        <v>263</v>
      </c>
      <c r="F108" s="210" t="s">
        <v>72</v>
      </c>
      <c r="G108" s="210" t="s">
        <v>276</v>
      </c>
      <c r="H108" s="8" t="s">
        <v>1465</v>
      </c>
      <c r="I108" s="70">
        <v>314103</v>
      </c>
      <c r="J108" s="70">
        <v>287927</v>
      </c>
    </row>
    <row r="109" spans="1:10" s="4" customFormat="1" ht="63" hidden="1">
      <c r="A109" s="205"/>
      <c r="B109" s="207"/>
      <c r="C109" s="207"/>
      <c r="D109" s="207"/>
      <c r="E109" s="207"/>
      <c r="F109" s="210"/>
      <c r="G109" s="210"/>
      <c r="H109" s="8" t="s">
        <v>1424</v>
      </c>
      <c r="I109" s="70">
        <v>0</v>
      </c>
      <c r="J109" s="70"/>
    </row>
    <row r="110" spans="1:10" s="4" customFormat="1" ht="31.5">
      <c r="A110" s="207" t="s">
        <v>1954</v>
      </c>
      <c r="B110" s="207" t="s">
        <v>261</v>
      </c>
      <c r="C110" s="207" t="s">
        <v>269</v>
      </c>
      <c r="D110" s="207" t="s">
        <v>2106</v>
      </c>
      <c r="E110" s="207" t="s">
        <v>263</v>
      </c>
      <c r="F110" s="210" t="s">
        <v>72</v>
      </c>
      <c r="G110" s="210" t="s">
        <v>276</v>
      </c>
      <c r="H110" s="8" t="s">
        <v>2107</v>
      </c>
      <c r="I110" s="70">
        <v>3540000</v>
      </c>
      <c r="J110" s="70">
        <v>3540000</v>
      </c>
    </row>
    <row r="111" spans="1:10" s="4" customFormat="1" ht="47.25">
      <c r="A111" s="207" t="s">
        <v>1961</v>
      </c>
      <c r="B111" s="207" t="s">
        <v>261</v>
      </c>
      <c r="C111" s="207" t="s">
        <v>269</v>
      </c>
      <c r="D111" s="207" t="s">
        <v>1976</v>
      </c>
      <c r="E111" s="207" t="s">
        <v>263</v>
      </c>
      <c r="F111" s="210" t="s">
        <v>72</v>
      </c>
      <c r="G111" s="210" t="s">
        <v>276</v>
      </c>
      <c r="H111" s="8" t="s">
        <v>443</v>
      </c>
      <c r="I111" s="70">
        <v>23986000</v>
      </c>
      <c r="J111" s="70">
        <v>22075356</v>
      </c>
    </row>
    <row r="112" spans="1:10" s="4" customFormat="1" ht="31.5">
      <c r="A112" s="207" t="s">
        <v>1954</v>
      </c>
      <c r="B112" s="207" t="s">
        <v>261</v>
      </c>
      <c r="C112" s="207" t="s">
        <v>269</v>
      </c>
      <c r="D112" s="207" t="s">
        <v>1977</v>
      </c>
      <c r="E112" s="207" t="s">
        <v>263</v>
      </c>
      <c r="F112" s="210" t="s">
        <v>2093</v>
      </c>
      <c r="G112" s="210" t="s">
        <v>276</v>
      </c>
      <c r="H112" s="8" t="s">
        <v>1390</v>
      </c>
      <c r="I112" s="70">
        <v>267265000</v>
      </c>
      <c r="J112" s="70">
        <v>267265000</v>
      </c>
    </row>
    <row r="113" spans="1:10" s="4" customFormat="1" ht="47.25">
      <c r="A113" s="207" t="s">
        <v>1954</v>
      </c>
      <c r="B113" s="207" t="s">
        <v>261</v>
      </c>
      <c r="C113" s="207" t="s">
        <v>269</v>
      </c>
      <c r="D113" s="207" t="s">
        <v>1977</v>
      </c>
      <c r="E113" s="207" t="s">
        <v>263</v>
      </c>
      <c r="F113" s="210" t="s">
        <v>2094</v>
      </c>
      <c r="G113" s="210" t="s">
        <v>276</v>
      </c>
      <c r="H113" s="8" t="s">
        <v>713</v>
      </c>
      <c r="I113" s="70">
        <v>26394000</v>
      </c>
      <c r="J113" s="70">
        <v>26394000</v>
      </c>
    </row>
    <row r="114" spans="1:10" s="4" customFormat="1" ht="47.25">
      <c r="A114" s="207" t="s">
        <v>1954</v>
      </c>
      <c r="B114" s="207" t="s">
        <v>261</v>
      </c>
      <c r="C114" s="207" t="s">
        <v>269</v>
      </c>
      <c r="D114" s="207" t="s">
        <v>1977</v>
      </c>
      <c r="E114" s="207" t="s">
        <v>263</v>
      </c>
      <c r="F114" s="210" t="s">
        <v>2086</v>
      </c>
      <c r="G114" s="210" t="s">
        <v>276</v>
      </c>
      <c r="H114" s="8" t="s">
        <v>503</v>
      </c>
      <c r="I114" s="70">
        <v>6389000</v>
      </c>
      <c r="J114" s="70">
        <v>5650000</v>
      </c>
    </row>
    <row r="115" spans="1:10" s="4" customFormat="1" ht="63">
      <c r="A115" s="207" t="s">
        <v>1961</v>
      </c>
      <c r="B115" s="207" t="s">
        <v>261</v>
      </c>
      <c r="C115" s="207" t="s">
        <v>269</v>
      </c>
      <c r="D115" s="207" t="s">
        <v>1977</v>
      </c>
      <c r="E115" s="207" t="s">
        <v>263</v>
      </c>
      <c r="F115" s="210" t="s">
        <v>2088</v>
      </c>
      <c r="G115" s="210" t="s">
        <v>276</v>
      </c>
      <c r="H115" s="132" t="s">
        <v>502</v>
      </c>
      <c r="I115" s="73">
        <v>17000</v>
      </c>
      <c r="J115" s="70">
        <v>16000</v>
      </c>
    </row>
    <row r="116" spans="1:10" s="4" customFormat="1" ht="63">
      <c r="A116" s="207" t="s">
        <v>1954</v>
      </c>
      <c r="B116" s="207" t="s">
        <v>261</v>
      </c>
      <c r="C116" s="207" t="s">
        <v>269</v>
      </c>
      <c r="D116" s="207" t="s">
        <v>1977</v>
      </c>
      <c r="E116" s="207" t="s">
        <v>263</v>
      </c>
      <c r="F116" s="210" t="s">
        <v>2098</v>
      </c>
      <c r="G116" s="210" t="s">
        <v>276</v>
      </c>
      <c r="H116" s="133" t="s">
        <v>1144</v>
      </c>
      <c r="I116" s="70">
        <v>106200</v>
      </c>
      <c r="J116" s="70">
        <v>97760</v>
      </c>
    </row>
    <row r="117" spans="1:10" s="4" customFormat="1" ht="78.75">
      <c r="A117" s="207" t="s">
        <v>1961</v>
      </c>
      <c r="B117" s="207" t="s">
        <v>261</v>
      </c>
      <c r="C117" s="207" t="s">
        <v>269</v>
      </c>
      <c r="D117" s="207" t="s">
        <v>1977</v>
      </c>
      <c r="E117" s="207" t="s">
        <v>263</v>
      </c>
      <c r="F117" s="210" t="s">
        <v>2087</v>
      </c>
      <c r="G117" s="210" t="s">
        <v>276</v>
      </c>
      <c r="H117" s="8" t="s">
        <v>874</v>
      </c>
      <c r="I117" s="70">
        <v>44635000</v>
      </c>
      <c r="J117" s="70">
        <v>44483800</v>
      </c>
    </row>
    <row r="118" spans="1:10" s="4" customFormat="1" ht="47.25">
      <c r="A118" s="211">
        <v>950</v>
      </c>
      <c r="B118" s="212" t="s">
        <v>261</v>
      </c>
      <c r="C118" s="212" t="s">
        <v>269</v>
      </c>
      <c r="D118" s="212" t="s">
        <v>1977</v>
      </c>
      <c r="E118" s="212" t="s">
        <v>263</v>
      </c>
      <c r="F118" s="212" t="s">
        <v>2095</v>
      </c>
      <c r="G118" s="212" t="s">
        <v>276</v>
      </c>
      <c r="H118" s="8" t="s">
        <v>714</v>
      </c>
      <c r="I118" s="70">
        <v>2075000</v>
      </c>
      <c r="J118" s="70">
        <v>2075000</v>
      </c>
    </row>
    <row r="119" spans="1:10" s="4" customFormat="1" ht="47.25">
      <c r="A119" s="207" t="s">
        <v>1961</v>
      </c>
      <c r="B119" s="207" t="s">
        <v>261</v>
      </c>
      <c r="C119" s="207" t="s">
        <v>269</v>
      </c>
      <c r="D119" s="207" t="s">
        <v>1977</v>
      </c>
      <c r="E119" s="207" t="s">
        <v>263</v>
      </c>
      <c r="F119" s="210" t="s">
        <v>2096</v>
      </c>
      <c r="G119" s="210" t="s">
        <v>276</v>
      </c>
      <c r="H119" s="8" t="s">
        <v>1548</v>
      </c>
      <c r="I119" s="70">
        <v>11579000</v>
      </c>
      <c r="J119" s="70">
        <v>11579000</v>
      </c>
    </row>
    <row r="120" spans="1:10" s="4" customFormat="1" ht="31.5">
      <c r="A120" s="207" t="s">
        <v>1954</v>
      </c>
      <c r="B120" s="207" t="s">
        <v>261</v>
      </c>
      <c r="C120" s="207" t="s">
        <v>269</v>
      </c>
      <c r="D120" s="207" t="s">
        <v>1977</v>
      </c>
      <c r="E120" s="207" t="s">
        <v>263</v>
      </c>
      <c r="F120" s="210" t="s">
        <v>2097</v>
      </c>
      <c r="G120" s="210" t="s">
        <v>276</v>
      </c>
      <c r="H120" s="8" t="s">
        <v>1059</v>
      </c>
      <c r="I120" s="70">
        <v>3069648</v>
      </c>
      <c r="J120" s="70">
        <v>3069648</v>
      </c>
    </row>
    <row r="121" spans="1:10" s="4" customFormat="1" ht="47.25">
      <c r="A121" s="207" t="s">
        <v>1955</v>
      </c>
      <c r="B121" s="207" t="s">
        <v>261</v>
      </c>
      <c r="C121" s="207" t="s">
        <v>269</v>
      </c>
      <c r="D121" s="207" t="s">
        <v>1977</v>
      </c>
      <c r="E121" s="207" t="s">
        <v>263</v>
      </c>
      <c r="F121" s="210" t="s">
        <v>2100</v>
      </c>
      <c r="G121" s="210" t="s">
        <v>276</v>
      </c>
      <c r="H121" s="8" t="s">
        <v>1426</v>
      </c>
      <c r="I121" s="70">
        <v>185068</v>
      </c>
      <c r="J121" s="70">
        <v>185068</v>
      </c>
    </row>
    <row r="122" spans="1:10" s="4" customFormat="1" ht="24.75" customHeight="1">
      <c r="A122" s="207" t="s">
        <v>1961</v>
      </c>
      <c r="B122" s="207" t="s">
        <v>261</v>
      </c>
      <c r="C122" s="207" t="s">
        <v>269</v>
      </c>
      <c r="D122" s="207" t="s">
        <v>1977</v>
      </c>
      <c r="E122" s="207" t="s">
        <v>263</v>
      </c>
      <c r="F122" s="210" t="s">
        <v>2090</v>
      </c>
      <c r="G122" s="210" t="s">
        <v>276</v>
      </c>
      <c r="H122" s="8" t="s">
        <v>331</v>
      </c>
      <c r="I122" s="70">
        <v>39391000</v>
      </c>
      <c r="J122" s="70">
        <v>39374091</v>
      </c>
    </row>
    <row r="123" spans="1:10" s="4" customFormat="1" ht="110.25">
      <c r="A123" s="207" t="s">
        <v>1961</v>
      </c>
      <c r="B123" s="207" t="s">
        <v>261</v>
      </c>
      <c r="C123" s="207" t="s">
        <v>269</v>
      </c>
      <c r="D123" s="207" t="s">
        <v>1977</v>
      </c>
      <c r="E123" s="207" t="s">
        <v>263</v>
      </c>
      <c r="F123" s="210" t="s">
        <v>2089</v>
      </c>
      <c r="G123" s="210" t="s">
        <v>276</v>
      </c>
      <c r="H123" s="8" t="s">
        <v>1963</v>
      </c>
      <c r="I123" s="70">
        <v>36883946</v>
      </c>
      <c r="J123" s="70">
        <v>36883946</v>
      </c>
    </row>
    <row r="124" spans="1:10" s="4" customFormat="1" ht="31.5">
      <c r="A124" s="207" t="s">
        <v>1961</v>
      </c>
      <c r="B124" s="207" t="s">
        <v>261</v>
      </c>
      <c r="C124" s="207" t="s">
        <v>269</v>
      </c>
      <c r="D124" s="207" t="s">
        <v>1977</v>
      </c>
      <c r="E124" s="207" t="s">
        <v>263</v>
      </c>
      <c r="F124" s="210" t="s">
        <v>2099</v>
      </c>
      <c r="G124" s="210" t="s">
        <v>276</v>
      </c>
      <c r="H124" s="8" t="s">
        <v>283</v>
      </c>
      <c r="I124" s="70">
        <v>3684087</v>
      </c>
      <c r="J124" s="70">
        <v>3684075</v>
      </c>
    </row>
    <row r="125" spans="1:10" s="4" customFormat="1" ht="47.25">
      <c r="A125" s="207" t="s">
        <v>1961</v>
      </c>
      <c r="B125" s="207" t="s">
        <v>261</v>
      </c>
      <c r="C125" s="207" t="s">
        <v>269</v>
      </c>
      <c r="D125" s="207" t="s">
        <v>1977</v>
      </c>
      <c r="E125" s="207" t="s">
        <v>263</v>
      </c>
      <c r="F125" s="210" t="s">
        <v>2082</v>
      </c>
      <c r="G125" s="210" t="s">
        <v>276</v>
      </c>
      <c r="H125" s="8" t="s">
        <v>1060</v>
      </c>
      <c r="I125" s="70">
        <v>29710000</v>
      </c>
      <c r="J125" s="70">
        <v>29710000</v>
      </c>
    </row>
    <row r="126" spans="1:10" s="4" customFormat="1" ht="63">
      <c r="A126" s="207" t="s">
        <v>1961</v>
      </c>
      <c r="B126" s="207" t="s">
        <v>261</v>
      </c>
      <c r="C126" s="207" t="s">
        <v>269</v>
      </c>
      <c r="D126" s="207" t="s">
        <v>1977</v>
      </c>
      <c r="E126" s="207" t="s">
        <v>263</v>
      </c>
      <c r="F126" s="210" t="s">
        <v>2083</v>
      </c>
      <c r="G126" s="210" t="s">
        <v>276</v>
      </c>
      <c r="H126" s="8" t="s">
        <v>1061</v>
      </c>
      <c r="I126" s="70">
        <v>22692000</v>
      </c>
      <c r="J126" s="70">
        <v>22642000</v>
      </c>
    </row>
    <row r="127" spans="1:10" s="4" customFormat="1" ht="63">
      <c r="A127" s="207" t="s">
        <v>1961</v>
      </c>
      <c r="B127" s="207" t="s">
        <v>261</v>
      </c>
      <c r="C127" s="207" t="s">
        <v>269</v>
      </c>
      <c r="D127" s="207" t="s">
        <v>1977</v>
      </c>
      <c r="E127" s="207" t="s">
        <v>263</v>
      </c>
      <c r="F127" s="210" t="s">
        <v>2084</v>
      </c>
      <c r="G127" s="210" t="s">
        <v>276</v>
      </c>
      <c r="H127" s="8" t="s">
        <v>30</v>
      </c>
      <c r="I127" s="70">
        <v>484000</v>
      </c>
      <c r="J127" s="70">
        <v>472225</v>
      </c>
    </row>
    <row r="128" spans="1:10" s="4" customFormat="1" ht="173.25">
      <c r="A128" s="207" t="s">
        <v>1961</v>
      </c>
      <c r="B128" s="207" t="s">
        <v>261</v>
      </c>
      <c r="C128" s="207" t="s">
        <v>269</v>
      </c>
      <c r="D128" s="207" t="s">
        <v>1977</v>
      </c>
      <c r="E128" s="207" t="s">
        <v>263</v>
      </c>
      <c r="F128" s="210" t="s">
        <v>2101</v>
      </c>
      <c r="G128" s="210" t="s">
        <v>276</v>
      </c>
      <c r="H128" s="8" t="s">
        <v>1964</v>
      </c>
      <c r="I128" s="70">
        <v>464500</v>
      </c>
      <c r="J128" s="70">
        <v>464500</v>
      </c>
    </row>
    <row r="129" spans="1:10" s="4" customFormat="1" ht="31.5">
      <c r="A129" s="207" t="s">
        <v>1954</v>
      </c>
      <c r="B129" s="207" t="s">
        <v>261</v>
      </c>
      <c r="C129" s="207" t="s">
        <v>269</v>
      </c>
      <c r="D129" s="207" t="s">
        <v>1977</v>
      </c>
      <c r="E129" s="207" t="s">
        <v>263</v>
      </c>
      <c r="F129" s="210" t="s">
        <v>2091</v>
      </c>
      <c r="G129" s="210" t="s">
        <v>276</v>
      </c>
      <c r="H129" s="8" t="s">
        <v>207</v>
      </c>
      <c r="I129" s="70">
        <v>1285362</v>
      </c>
      <c r="J129" s="70">
        <v>1208232</v>
      </c>
    </row>
    <row r="130" spans="1:10" s="4" customFormat="1" ht="63">
      <c r="A130" s="207" t="s">
        <v>1954</v>
      </c>
      <c r="B130" s="207" t="s">
        <v>261</v>
      </c>
      <c r="C130" s="207" t="s">
        <v>269</v>
      </c>
      <c r="D130" s="207" t="s">
        <v>1977</v>
      </c>
      <c r="E130" s="207" t="s">
        <v>263</v>
      </c>
      <c r="F130" s="210" t="s">
        <v>2092</v>
      </c>
      <c r="G130" s="210" t="s">
        <v>276</v>
      </c>
      <c r="H130" s="8" t="s">
        <v>1362</v>
      </c>
      <c r="I130" s="70">
        <v>1101000</v>
      </c>
      <c r="J130" s="70">
        <v>1071762</v>
      </c>
    </row>
    <row r="131" spans="1:10" s="4" customFormat="1" ht="96.75" customHeight="1">
      <c r="A131" s="207" t="s">
        <v>1955</v>
      </c>
      <c r="B131" s="207" t="s">
        <v>261</v>
      </c>
      <c r="C131" s="207" t="s">
        <v>269</v>
      </c>
      <c r="D131" s="207" t="s">
        <v>1977</v>
      </c>
      <c r="E131" s="207" t="s">
        <v>263</v>
      </c>
      <c r="F131" s="210" t="s">
        <v>2265</v>
      </c>
      <c r="G131" s="210" t="s">
        <v>276</v>
      </c>
      <c r="H131" s="8" t="s">
        <v>2266</v>
      </c>
      <c r="I131" s="70">
        <v>10100</v>
      </c>
      <c r="J131" s="70">
        <v>10100</v>
      </c>
    </row>
    <row r="132" spans="1:10" s="4" customFormat="1" ht="94.5">
      <c r="A132" s="207" t="s">
        <v>365</v>
      </c>
      <c r="B132" s="207" t="s">
        <v>261</v>
      </c>
      <c r="C132" s="207" t="s">
        <v>269</v>
      </c>
      <c r="D132" s="207" t="s">
        <v>1973</v>
      </c>
      <c r="E132" s="207" t="s">
        <v>263</v>
      </c>
      <c r="F132" s="210" t="s">
        <v>72</v>
      </c>
      <c r="G132" s="210" t="s">
        <v>276</v>
      </c>
      <c r="H132" s="8" t="s">
        <v>2161</v>
      </c>
      <c r="I132" s="70">
        <v>13753000</v>
      </c>
      <c r="J132" s="70">
        <v>13752850</v>
      </c>
    </row>
    <row r="133" spans="1:10" s="4" customFormat="1" ht="63">
      <c r="A133" s="207" t="s">
        <v>1954</v>
      </c>
      <c r="B133" s="207" t="s">
        <v>261</v>
      </c>
      <c r="C133" s="207" t="s">
        <v>269</v>
      </c>
      <c r="D133" s="207" t="s">
        <v>1978</v>
      </c>
      <c r="E133" s="207" t="s">
        <v>263</v>
      </c>
      <c r="F133" s="210" t="s">
        <v>72</v>
      </c>
      <c r="G133" s="210" t="s">
        <v>276</v>
      </c>
      <c r="H133" s="8" t="s">
        <v>1549</v>
      </c>
      <c r="I133" s="70">
        <v>23805939</v>
      </c>
      <c r="J133" s="70">
        <v>23785040</v>
      </c>
    </row>
    <row r="134" spans="1:10" s="4" customFormat="1" ht="78.75">
      <c r="A134" s="207" t="s">
        <v>1954</v>
      </c>
      <c r="B134" s="207" t="s">
        <v>261</v>
      </c>
      <c r="C134" s="207" t="s">
        <v>269</v>
      </c>
      <c r="D134" s="207" t="s">
        <v>1970</v>
      </c>
      <c r="E134" s="207" t="s">
        <v>263</v>
      </c>
      <c r="F134" s="210" t="s">
        <v>72</v>
      </c>
      <c r="G134" s="210" t="s">
        <v>276</v>
      </c>
      <c r="H134" s="8" t="s">
        <v>346</v>
      </c>
      <c r="I134" s="70">
        <v>4407000</v>
      </c>
      <c r="J134" s="70">
        <v>4407000</v>
      </c>
    </row>
    <row r="135" spans="1:10" s="4" customFormat="1" ht="94.5">
      <c r="A135" s="207" t="s">
        <v>1961</v>
      </c>
      <c r="B135" s="207" t="s">
        <v>261</v>
      </c>
      <c r="C135" s="207" t="s">
        <v>269</v>
      </c>
      <c r="D135" s="207" t="s">
        <v>1972</v>
      </c>
      <c r="E135" s="207" t="s">
        <v>263</v>
      </c>
      <c r="F135" s="210" t="s">
        <v>72</v>
      </c>
      <c r="G135" s="210" t="s">
        <v>276</v>
      </c>
      <c r="H135" s="8" t="s">
        <v>1039</v>
      </c>
      <c r="I135" s="70">
        <v>469000</v>
      </c>
      <c r="J135" s="70">
        <v>396839</v>
      </c>
    </row>
    <row r="136" spans="1:10" s="4" customFormat="1" ht="78.75">
      <c r="A136" s="207" t="s">
        <v>1961</v>
      </c>
      <c r="B136" s="207" t="s">
        <v>261</v>
      </c>
      <c r="C136" s="207" t="s">
        <v>269</v>
      </c>
      <c r="D136" s="207" t="s">
        <v>2085</v>
      </c>
      <c r="E136" s="207" t="s">
        <v>263</v>
      </c>
      <c r="F136" s="210" t="s">
        <v>72</v>
      </c>
      <c r="G136" s="210" t="s">
        <v>276</v>
      </c>
      <c r="H136" s="8" t="s">
        <v>1962</v>
      </c>
      <c r="I136" s="70">
        <v>3774000</v>
      </c>
      <c r="J136" s="70">
        <v>3617406</v>
      </c>
    </row>
    <row r="137" spans="1:10" s="4" customFormat="1" ht="29.25" customHeight="1">
      <c r="A137" s="205" t="s">
        <v>68</v>
      </c>
      <c r="B137" s="205" t="s">
        <v>261</v>
      </c>
      <c r="C137" s="205" t="s">
        <v>269</v>
      </c>
      <c r="D137" s="205" t="s">
        <v>953</v>
      </c>
      <c r="E137" s="205" t="s">
        <v>70</v>
      </c>
      <c r="F137" s="209" t="s">
        <v>72</v>
      </c>
      <c r="G137" s="209" t="s">
        <v>276</v>
      </c>
      <c r="H137" s="44" t="s">
        <v>315</v>
      </c>
      <c r="I137" s="71">
        <v>135171279.94999999</v>
      </c>
      <c r="J137" s="71">
        <f>SUM(J138:J147)</f>
        <v>79438804</v>
      </c>
    </row>
    <row r="138" spans="1:10" s="4" customFormat="1" ht="78.75">
      <c r="A138" s="207" t="s">
        <v>1100</v>
      </c>
      <c r="B138" s="207" t="s">
        <v>261</v>
      </c>
      <c r="C138" s="207" t="s">
        <v>269</v>
      </c>
      <c r="D138" s="207" t="s">
        <v>2151</v>
      </c>
      <c r="E138" s="207" t="s">
        <v>263</v>
      </c>
      <c r="F138" s="210" t="s">
        <v>2152</v>
      </c>
      <c r="G138" s="210" t="s">
        <v>276</v>
      </c>
      <c r="H138" s="29" t="s">
        <v>2222</v>
      </c>
      <c r="I138" s="135">
        <v>14979390</v>
      </c>
      <c r="J138" s="70">
        <v>12517117</v>
      </c>
    </row>
    <row r="139" spans="1:10" s="4" customFormat="1" ht="94.5">
      <c r="A139" s="207" t="s">
        <v>68</v>
      </c>
      <c r="B139" s="207" t="s">
        <v>261</v>
      </c>
      <c r="C139" s="207" t="s">
        <v>269</v>
      </c>
      <c r="D139" s="207" t="s">
        <v>1990</v>
      </c>
      <c r="E139" s="207" t="s">
        <v>263</v>
      </c>
      <c r="F139" s="210" t="s">
        <v>72</v>
      </c>
      <c r="G139" s="210" t="s">
        <v>276</v>
      </c>
      <c r="H139" s="29" t="s">
        <v>905</v>
      </c>
      <c r="I139" s="135">
        <v>115264404.94999999</v>
      </c>
      <c r="J139" s="70">
        <v>61994625</v>
      </c>
    </row>
    <row r="140" spans="1:10" s="4" customFormat="1" ht="47.25">
      <c r="A140" s="207" t="s">
        <v>1950</v>
      </c>
      <c r="B140" s="207" t="s">
        <v>261</v>
      </c>
      <c r="C140" s="207" t="s">
        <v>269</v>
      </c>
      <c r="D140" s="207" t="s">
        <v>1979</v>
      </c>
      <c r="E140" s="207" t="s">
        <v>263</v>
      </c>
      <c r="F140" s="210" t="s">
        <v>72</v>
      </c>
      <c r="G140" s="210" t="s">
        <v>276</v>
      </c>
      <c r="H140" s="8" t="s">
        <v>478</v>
      </c>
      <c r="I140" s="70">
        <v>139000</v>
      </c>
      <c r="J140" s="70">
        <v>139000</v>
      </c>
    </row>
    <row r="141" spans="1:10" s="4" customFormat="1" ht="94.5">
      <c r="A141" s="207" t="s">
        <v>1950</v>
      </c>
      <c r="B141" s="207" t="s">
        <v>261</v>
      </c>
      <c r="C141" s="207" t="s">
        <v>269</v>
      </c>
      <c r="D141" s="207" t="s">
        <v>2259</v>
      </c>
      <c r="E141" s="207" t="s">
        <v>263</v>
      </c>
      <c r="F141" s="210" t="s">
        <v>72</v>
      </c>
      <c r="G141" s="210" t="s">
        <v>276</v>
      </c>
      <c r="H141" s="8" t="s">
        <v>2260</v>
      </c>
      <c r="I141" s="70">
        <v>34000</v>
      </c>
      <c r="J141" s="70">
        <v>34000</v>
      </c>
    </row>
    <row r="142" spans="1:10" s="4" customFormat="1" ht="63">
      <c r="A142" s="207" t="s">
        <v>1950</v>
      </c>
      <c r="B142" s="207" t="s">
        <v>261</v>
      </c>
      <c r="C142" s="207" t="s">
        <v>269</v>
      </c>
      <c r="D142" s="207" t="s">
        <v>2261</v>
      </c>
      <c r="E142" s="207" t="s">
        <v>263</v>
      </c>
      <c r="F142" s="210" t="s">
        <v>72</v>
      </c>
      <c r="G142" s="210" t="s">
        <v>276</v>
      </c>
      <c r="H142" s="8" t="s">
        <v>2262</v>
      </c>
      <c r="I142" s="70">
        <v>100000</v>
      </c>
      <c r="J142" s="70">
        <v>100000</v>
      </c>
    </row>
    <row r="143" spans="1:10" s="4" customFormat="1" ht="63.75" customHeight="1">
      <c r="A143" s="207" t="s">
        <v>1950</v>
      </c>
      <c r="B143" s="207" t="s">
        <v>261</v>
      </c>
      <c r="C143" s="207" t="s">
        <v>269</v>
      </c>
      <c r="D143" s="207" t="s">
        <v>2263</v>
      </c>
      <c r="E143" s="207" t="s">
        <v>263</v>
      </c>
      <c r="F143" s="210" t="s">
        <v>72</v>
      </c>
      <c r="G143" s="210" t="s">
        <v>276</v>
      </c>
      <c r="H143" s="8" t="s">
        <v>2264</v>
      </c>
      <c r="I143" s="70">
        <v>100000</v>
      </c>
      <c r="J143" s="70">
        <v>100000</v>
      </c>
    </row>
    <row r="144" spans="1:10" s="4" customFormat="1" ht="63">
      <c r="A144" s="207" t="s">
        <v>1100</v>
      </c>
      <c r="B144" s="207" t="s">
        <v>261</v>
      </c>
      <c r="C144" s="207" t="s">
        <v>269</v>
      </c>
      <c r="D144" s="207" t="s">
        <v>1980</v>
      </c>
      <c r="E144" s="207" t="s">
        <v>263</v>
      </c>
      <c r="F144" s="210" t="s">
        <v>2103</v>
      </c>
      <c r="G144" s="210" t="s">
        <v>276</v>
      </c>
      <c r="H144" s="8" t="s">
        <v>303</v>
      </c>
      <c r="I144" s="83">
        <v>360040</v>
      </c>
      <c r="J144" s="70">
        <v>360000</v>
      </c>
    </row>
    <row r="145" spans="1:10" s="4" customFormat="1" ht="63">
      <c r="A145" s="207" t="s">
        <v>1961</v>
      </c>
      <c r="B145" s="207" t="s">
        <v>261</v>
      </c>
      <c r="C145" s="207" t="s">
        <v>269</v>
      </c>
      <c r="D145" s="207" t="s">
        <v>1980</v>
      </c>
      <c r="E145" s="207" t="s">
        <v>263</v>
      </c>
      <c r="F145" s="210" t="s">
        <v>2102</v>
      </c>
      <c r="G145" s="210" t="s">
        <v>276</v>
      </c>
      <c r="H145" s="8" t="s">
        <v>1965</v>
      </c>
      <c r="I145" s="70">
        <v>440885</v>
      </c>
      <c r="J145" s="70">
        <v>440811</v>
      </c>
    </row>
    <row r="146" spans="1:10" s="4" customFormat="1" ht="63">
      <c r="A146" s="207" t="s">
        <v>1961</v>
      </c>
      <c r="B146" s="207" t="s">
        <v>261</v>
      </c>
      <c r="C146" s="207" t="s">
        <v>269</v>
      </c>
      <c r="D146" s="207" t="s">
        <v>1980</v>
      </c>
      <c r="E146" s="207" t="s">
        <v>263</v>
      </c>
      <c r="F146" s="210" t="s">
        <v>2104</v>
      </c>
      <c r="G146" s="210" t="s">
        <v>276</v>
      </c>
      <c r="H146" s="134" t="s">
        <v>258</v>
      </c>
      <c r="I146" s="82">
        <v>2864000</v>
      </c>
      <c r="J146" s="70">
        <v>2863691</v>
      </c>
    </row>
    <row r="147" spans="1:10" s="4" customFormat="1" ht="126">
      <c r="A147" s="207" t="s">
        <v>1948</v>
      </c>
      <c r="B147" s="207" t="s">
        <v>261</v>
      </c>
      <c r="C147" s="207" t="s">
        <v>269</v>
      </c>
      <c r="D147" s="207" t="s">
        <v>1980</v>
      </c>
      <c r="E147" s="207" t="s">
        <v>263</v>
      </c>
      <c r="F147" s="210" t="s">
        <v>2124</v>
      </c>
      <c r="G147" s="210" t="s">
        <v>276</v>
      </c>
      <c r="H147" s="134" t="s">
        <v>2125</v>
      </c>
      <c r="I147" s="82">
        <v>889560</v>
      </c>
      <c r="J147" s="70">
        <v>889560</v>
      </c>
    </row>
    <row r="148" spans="1:10" s="4" customFormat="1" ht="33.75" customHeight="1">
      <c r="A148" s="205" t="s">
        <v>68</v>
      </c>
      <c r="B148" s="205" t="s">
        <v>261</v>
      </c>
      <c r="C148" s="205" t="s">
        <v>269</v>
      </c>
      <c r="D148" s="205" t="s">
        <v>2239</v>
      </c>
      <c r="E148" s="205" t="s">
        <v>70</v>
      </c>
      <c r="F148" s="209" t="s">
        <v>72</v>
      </c>
      <c r="G148" s="209" t="s">
        <v>276</v>
      </c>
      <c r="H148" s="184" t="s">
        <v>2235</v>
      </c>
      <c r="I148" s="185">
        <v>1280000</v>
      </c>
      <c r="J148" s="310">
        <f>J149</f>
        <v>1280000</v>
      </c>
    </row>
    <row r="149" spans="1:10" s="4" customFormat="1" ht="54" customHeight="1">
      <c r="A149" s="207" t="s">
        <v>68</v>
      </c>
      <c r="B149" s="207" t="s">
        <v>261</v>
      </c>
      <c r="C149" s="207" t="s">
        <v>269</v>
      </c>
      <c r="D149" s="207" t="s">
        <v>2238</v>
      </c>
      <c r="E149" s="207" t="s">
        <v>70</v>
      </c>
      <c r="F149" s="210" t="s">
        <v>72</v>
      </c>
      <c r="G149" s="210" t="s">
        <v>276</v>
      </c>
      <c r="H149" s="134" t="s">
        <v>2237</v>
      </c>
      <c r="I149" s="82">
        <v>1280000</v>
      </c>
      <c r="J149" s="311">
        <f>J150</f>
        <v>1280000</v>
      </c>
    </row>
    <row r="150" spans="1:10" s="4" customFormat="1" ht="78.75">
      <c r="A150" s="207" t="s">
        <v>1961</v>
      </c>
      <c r="B150" s="207" t="s">
        <v>261</v>
      </c>
      <c r="C150" s="207" t="s">
        <v>269</v>
      </c>
      <c r="D150" s="207" t="s">
        <v>2238</v>
      </c>
      <c r="E150" s="207" t="s">
        <v>263</v>
      </c>
      <c r="F150" s="210" t="s">
        <v>2240</v>
      </c>
      <c r="G150" s="210" t="s">
        <v>276</v>
      </c>
      <c r="H150" s="134" t="s">
        <v>2236</v>
      </c>
      <c r="I150" s="312">
        <v>1280000</v>
      </c>
      <c r="J150" s="329">
        <v>1280000</v>
      </c>
    </row>
    <row r="151" spans="1:10" s="4" customFormat="1" ht="110.25">
      <c r="A151" s="314" t="s">
        <v>68</v>
      </c>
      <c r="B151" s="314" t="s">
        <v>261</v>
      </c>
      <c r="C151" s="314" t="s">
        <v>2317</v>
      </c>
      <c r="D151" s="314" t="s">
        <v>71</v>
      </c>
      <c r="E151" s="314" t="s">
        <v>70</v>
      </c>
      <c r="F151" s="315" t="s">
        <v>72</v>
      </c>
      <c r="G151" s="315" t="s">
        <v>68</v>
      </c>
      <c r="H151" s="316" t="s">
        <v>2319</v>
      </c>
      <c r="I151" s="317"/>
      <c r="J151" s="313">
        <v>3151141</v>
      </c>
    </row>
    <row r="152" spans="1:10" s="4" customFormat="1" ht="47.25">
      <c r="A152" s="314" t="s">
        <v>68</v>
      </c>
      <c r="B152" s="314" t="s">
        <v>261</v>
      </c>
      <c r="C152" s="314" t="s">
        <v>2318</v>
      </c>
      <c r="D152" s="314" t="s">
        <v>71</v>
      </c>
      <c r="E152" s="314" t="s">
        <v>70</v>
      </c>
      <c r="F152" s="315" t="s">
        <v>72</v>
      </c>
      <c r="G152" s="315" t="s">
        <v>68</v>
      </c>
      <c r="H152" s="316" t="s">
        <v>2320</v>
      </c>
      <c r="I152" s="317"/>
      <c r="J152" s="321">
        <v>-3603860</v>
      </c>
    </row>
    <row r="153" spans="1:10" s="4" customFormat="1" ht="15.75">
      <c r="A153" s="207"/>
      <c r="B153" s="207"/>
      <c r="C153" s="207"/>
      <c r="D153" s="207"/>
      <c r="E153" s="207"/>
      <c r="F153" s="210"/>
      <c r="G153" s="210"/>
      <c r="H153" s="62" t="s">
        <v>1099</v>
      </c>
      <c r="I153" s="69">
        <v>1762898726.95</v>
      </c>
      <c r="J153" s="313">
        <f>J11+J41</f>
        <v>1605427436</v>
      </c>
    </row>
  </sheetData>
  <sheetProtection formatCells="0" formatColumns="0" formatRows="0" insertColumns="0" insertRows="0" insertHyperlinks="0" deleteColumns="0" deleteRows="0" sort="0" autoFilter="0" pivotTables="0"/>
  <customSheetViews>
    <customSheetView guid="{91923F83-3A6B-4204-9891-178562AB34F1}" showPageBreaks="1" fitToPage="1" printArea="1" view="pageBreakPreview" showRuler="0" topLeftCell="A39">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1"/>
      <headerFooter alignWithMargins="0">
        <oddFooter>&amp;C&amp;P</oddFooter>
      </headerFooter>
    </customSheetView>
    <customSheetView guid="{66DBF0AC-E9A0-482F-9E41-1928B6CA83DC}" showPageBreaks="1" fitToPage="1" view="pageBreakPreview" showRuler="0" topLeftCell="A117">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2"/>
      <headerFooter alignWithMargins="0">
        <oddFooter>&amp;C&amp;P</oddFooter>
      </headerFooter>
    </customSheetView>
    <customSheetView guid="{A5E41FC9-89B1-40D2-B587-57BC4C5E4715}"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3"/>
      <headerFooter alignWithMargins="0">
        <oddFooter>&amp;C&amp;P</oddFooter>
      </headerFooter>
    </customSheetView>
    <customSheetView guid="{F3607253-7816-4CF7-9CFD-2ADFFAD916F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4"/>
      <headerFooter alignWithMargins="0">
        <oddFooter>&amp;C&amp;P</oddFooter>
      </headerFooter>
    </customSheetView>
    <customSheetView guid="{B3311466-F005-49F1-A579-3E6CECE305A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5"/>
      <headerFooter alignWithMargins="0">
        <oddFooter>&amp;C&amp;P</oddFooter>
      </headerFooter>
    </customSheetView>
    <customSheetView guid="{E5662E33-D4B0-43EA-9B06-C8DA9DFDBEF6}" showPageBreaks="1" fitToPage="1" printArea="1" view="pageBreakPreview" showRuler="0">
      <selection activeCell="H42" sqref="H42"/>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6"/>
      <headerFooter alignWithMargins="0">
        <oddFooter>&amp;C&amp;P</oddFooter>
      </headerFooter>
    </customSheetView>
  </customSheetViews>
  <mergeCells count="9">
    <mergeCell ref="H9:H10"/>
    <mergeCell ref="I9:I10"/>
    <mergeCell ref="F1:J1"/>
    <mergeCell ref="F2:J2"/>
    <mergeCell ref="F3:J3"/>
    <mergeCell ref="F4:J4"/>
    <mergeCell ref="A6:J6"/>
    <mergeCell ref="A9:G9"/>
    <mergeCell ref="J9:J10"/>
  </mergeCells>
  <phoneticPr fontId="0" type="noConversion"/>
  <pageMargins left="0.78740157480314965" right="0.78740157480314965" top="0.39370078740157483" bottom="0.39370078740157483" header="0.19685039370078741" footer="0.19685039370078741"/>
  <pageSetup paperSize="9" scale="87" fitToHeight="100" orientation="portrait" r:id="rId7"/>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E19"/>
  <sheetViews>
    <sheetView showGridLines="0" workbookViewId="0">
      <selection activeCell="E34" sqref="E34"/>
    </sheetView>
  </sheetViews>
  <sheetFormatPr defaultColWidth="9.140625" defaultRowHeight="12.75" outlineLevelCol="1"/>
  <cols>
    <col min="1" max="1" width="53" style="115" customWidth="1"/>
    <col min="2" max="2" width="18" style="115" hidden="1" customWidth="1" outlineLevel="1"/>
    <col min="3" max="3" width="14.85546875" style="115" hidden="1" customWidth="1" outlineLevel="1"/>
    <col min="4" max="4" width="18.140625" style="115" customWidth="1" collapsed="1"/>
    <col min="5" max="5" width="16.42578125" style="115" customWidth="1"/>
    <col min="6" max="16384" width="9.140625" style="115"/>
  </cols>
  <sheetData>
    <row r="1" spans="1:5" ht="15.75">
      <c r="A1" s="333" t="s">
        <v>2223</v>
      </c>
      <c r="B1" s="333"/>
      <c r="C1" s="333"/>
      <c r="D1" s="333"/>
      <c r="E1" s="333"/>
    </row>
    <row r="2" spans="1:5" ht="15.75">
      <c r="A2" s="333" t="s">
        <v>1052</v>
      </c>
      <c r="B2" s="333"/>
      <c r="C2" s="333"/>
      <c r="D2" s="333"/>
      <c r="E2" s="333"/>
    </row>
    <row r="3" spans="1:5" ht="15.75">
      <c r="A3" s="333" t="s">
        <v>705</v>
      </c>
      <c r="B3" s="333"/>
      <c r="C3" s="333"/>
      <c r="D3" s="333"/>
      <c r="E3" s="333"/>
    </row>
    <row r="4" spans="1:5" ht="15.75">
      <c r="A4" s="333" t="s">
        <v>1213</v>
      </c>
      <c r="B4" s="333"/>
      <c r="C4" s="333"/>
      <c r="D4" s="333"/>
      <c r="E4" s="333"/>
    </row>
    <row r="5" spans="1:5">
      <c r="A5" s="283"/>
      <c r="B5" s="283"/>
      <c r="C5" s="397"/>
      <c r="D5" s="397"/>
      <c r="E5" s="397"/>
    </row>
    <row r="6" spans="1:5">
      <c r="A6"/>
      <c r="B6"/>
      <c r="C6" s="397"/>
      <c r="D6" s="397"/>
      <c r="E6" s="397"/>
    </row>
    <row r="7" spans="1:5" ht="39.75" customHeight="1">
      <c r="A7" s="334" t="s">
        <v>2307</v>
      </c>
      <c r="B7" s="334"/>
      <c r="C7" s="334"/>
      <c r="D7" s="334"/>
      <c r="E7" s="334"/>
    </row>
    <row r="8" spans="1:5" ht="18.75" customHeight="1">
      <c r="A8" s="398" t="s">
        <v>2290</v>
      </c>
      <c r="B8" s="398"/>
      <c r="C8" s="398"/>
      <c r="D8" s="398"/>
      <c r="E8" s="398"/>
    </row>
    <row r="9" spans="1:5" ht="30.75" customHeight="1">
      <c r="A9" s="399"/>
      <c r="B9" s="399"/>
      <c r="C9" s="399"/>
      <c r="D9" s="399"/>
      <c r="E9" s="399"/>
    </row>
    <row r="10" spans="1:5" ht="94.5">
      <c r="A10" s="285" t="s">
        <v>1555</v>
      </c>
      <c r="B10" s="285" t="s">
        <v>2288</v>
      </c>
      <c r="C10" s="285" t="s">
        <v>2291</v>
      </c>
      <c r="D10" s="285" t="s">
        <v>2276</v>
      </c>
      <c r="E10" s="285" t="s">
        <v>2291</v>
      </c>
    </row>
    <row r="11" spans="1:5" ht="15.75">
      <c r="A11" s="286" t="s">
        <v>1327</v>
      </c>
      <c r="B11" s="287">
        <f>1635000+C11</f>
        <v>1780000</v>
      </c>
      <c r="C11" s="288">
        <v>145000</v>
      </c>
      <c r="D11" s="319">
        <v>1780000</v>
      </c>
      <c r="E11" s="320">
        <v>145000</v>
      </c>
    </row>
    <row r="12" spans="1:5" ht="15.75">
      <c r="A12" s="286" t="s">
        <v>636</v>
      </c>
      <c r="B12" s="287">
        <f>1520000+C12</f>
        <v>1845000</v>
      </c>
      <c r="C12" s="288">
        <v>325000</v>
      </c>
      <c r="D12" s="319">
        <v>1845000</v>
      </c>
      <c r="E12" s="320">
        <v>325000</v>
      </c>
    </row>
    <row r="13" spans="1:5" ht="15.75">
      <c r="A13" s="289" t="s">
        <v>1099</v>
      </c>
      <c r="B13" s="290">
        <f>SUM(B11:B12)</f>
        <v>3625000</v>
      </c>
      <c r="C13" s="290">
        <f>SUM(C11:C12)</f>
        <v>470000</v>
      </c>
      <c r="D13" s="290">
        <f>SUM(D11:D12)</f>
        <v>3625000</v>
      </c>
      <c r="E13" s="290">
        <f>SUM(E11:E12)</f>
        <v>470000</v>
      </c>
    </row>
    <row r="14" spans="1:5">
      <c r="A14"/>
      <c r="B14"/>
      <c r="C14"/>
      <c r="D14" s="395"/>
      <c r="E14" s="395"/>
    </row>
    <row r="15" spans="1:5" ht="39" customHeight="1">
      <c r="A15" s="400" t="s">
        <v>2292</v>
      </c>
      <c r="B15" s="400"/>
      <c r="C15" s="400"/>
      <c r="D15" s="400"/>
      <c r="E15" s="400"/>
    </row>
    <row r="16" spans="1:5">
      <c r="A16"/>
      <c r="B16"/>
      <c r="C16"/>
      <c r="D16" s="396"/>
      <c r="E16" s="396"/>
    </row>
    <row r="17" spans="1:5" ht="15.75">
      <c r="A17" s="291" t="s">
        <v>1555</v>
      </c>
      <c r="B17" s="389" t="s">
        <v>2288</v>
      </c>
      <c r="C17" s="390"/>
      <c r="D17" s="389" t="s">
        <v>2276</v>
      </c>
      <c r="E17" s="390"/>
    </row>
    <row r="18" spans="1:5" ht="15.75">
      <c r="A18" s="286" t="s">
        <v>636</v>
      </c>
      <c r="B18" s="391">
        <v>1040000</v>
      </c>
      <c r="C18" s="392"/>
      <c r="D18" s="391">
        <v>1040000</v>
      </c>
      <c r="E18" s="392"/>
    </row>
    <row r="19" spans="1:5" ht="15.75">
      <c r="A19" s="289" t="s">
        <v>1099</v>
      </c>
      <c r="B19" s="393">
        <f>B18</f>
        <v>1040000</v>
      </c>
      <c r="C19" s="394"/>
      <c r="D19" s="393">
        <f>D18</f>
        <v>1040000</v>
      </c>
      <c r="E19" s="394"/>
    </row>
  </sheetData>
  <mergeCells count="16">
    <mergeCell ref="A1:E1"/>
    <mergeCell ref="B17:C17"/>
    <mergeCell ref="B18:C18"/>
    <mergeCell ref="B19:C19"/>
    <mergeCell ref="D17:E17"/>
    <mergeCell ref="D18:E18"/>
    <mergeCell ref="D19:E19"/>
    <mergeCell ref="D14:E14"/>
    <mergeCell ref="D16:E16"/>
    <mergeCell ref="A2:E2"/>
    <mergeCell ref="A3:E3"/>
    <mergeCell ref="A4:E4"/>
    <mergeCell ref="C5:E6"/>
    <mergeCell ref="A8:E9"/>
    <mergeCell ref="A15:E15"/>
    <mergeCell ref="A7:E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Лист16">
    <pageSetUpPr fitToPage="1"/>
  </sheetPr>
  <dimension ref="A1:J114"/>
  <sheetViews>
    <sheetView view="pageBreakPreview" zoomScale="80" zoomScaleSheetLayoutView="80" workbookViewId="0">
      <selection activeCell="A34" sqref="A34:B34"/>
    </sheetView>
  </sheetViews>
  <sheetFormatPr defaultRowHeight="12.75" outlineLevelCol="1"/>
  <cols>
    <col min="1" max="1" width="4.140625" customWidth="1"/>
    <col min="2" max="2" width="61.28515625" customWidth="1"/>
    <col min="3" max="3" width="15" hidden="1" customWidth="1" outlineLevel="1"/>
    <col min="4" max="4" width="23.140625" customWidth="1" collapsed="1"/>
  </cols>
  <sheetData>
    <row r="1" spans="1:4" ht="15.75">
      <c r="A1" s="143"/>
      <c r="B1" s="342" t="s">
        <v>2270</v>
      </c>
      <c r="C1" s="342"/>
      <c r="D1" s="342"/>
    </row>
    <row r="2" spans="1:4" ht="15.75">
      <c r="A2" s="143"/>
      <c r="B2" s="342" t="s">
        <v>1052</v>
      </c>
      <c r="C2" s="342"/>
      <c r="D2" s="342"/>
    </row>
    <row r="3" spans="1:4" ht="15.75">
      <c r="A3" s="143"/>
      <c r="B3" s="342" t="s">
        <v>705</v>
      </c>
      <c r="C3" s="342"/>
      <c r="D3" s="342"/>
    </row>
    <row r="4" spans="1:4" ht="15.75">
      <c r="A4" s="143"/>
      <c r="B4" s="342" t="s">
        <v>1213</v>
      </c>
      <c r="C4" s="342"/>
      <c r="D4" s="342"/>
    </row>
    <row r="5" spans="1:4" ht="9.75" customHeight="1">
      <c r="A5" s="143"/>
      <c r="B5" s="188"/>
      <c r="C5" s="188"/>
      <c r="D5" s="143"/>
    </row>
    <row r="6" spans="1:4" ht="15.75" hidden="1">
      <c r="A6" s="143"/>
      <c r="B6" s="143"/>
      <c r="C6" s="143"/>
      <c r="D6" s="143"/>
    </row>
    <row r="7" spans="1:4" ht="37.5" customHeight="1">
      <c r="A7" s="412" t="s">
        <v>2308</v>
      </c>
      <c r="B7" s="412"/>
      <c r="C7" s="412"/>
      <c r="D7" s="412"/>
    </row>
    <row r="8" spans="1:4" ht="50.25" customHeight="1">
      <c r="A8" s="399" t="s">
        <v>1991</v>
      </c>
      <c r="B8" s="399"/>
      <c r="C8" s="399"/>
      <c r="D8" s="399"/>
    </row>
    <row r="9" spans="1:4" ht="21" customHeight="1">
      <c r="A9" s="404" t="s">
        <v>1555</v>
      </c>
      <c r="B9" s="405"/>
      <c r="C9" s="274" t="s">
        <v>2289</v>
      </c>
      <c r="D9" s="272" t="s">
        <v>2276</v>
      </c>
    </row>
    <row r="10" spans="1:4" ht="15.75" customHeight="1">
      <c r="A10" s="409" t="s">
        <v>10</v>
      </c>
      <c r="B10" s="410"/>
      <c r="C10" s="155">
        <v>14237000</v>
      </c>
      <c r="D10" s="155">
        <v>6373399.9199999999</v>
      </c>
    </row>
    <row r="11" spans="1:4" ht="15.75" customHeight="1">
      <c r="A11" s="402" t="s">
        <v>1099</v>
      </c>
      <c r="B11" s="403"/>
      <c r="C11" s="156">
        <v>14237000</v>
      </c>
      <c r="D11" s="156">
        <f t="shared" ref="D11" si="0">D10</f>
        <v>6373399.9199999999</v>
      </c>
    </row>
    <row r="12" spans="1:4" ht="63" hidden="1" customHeight="1">
      <c r="A12" s="411" t="s">
        <v>9</v>
      </c>
      <c r="B12" s="411"/>
      <c r="C12" s="411"/>
      <c r="D12" s="411"/>
    </row>
    <row r="13" spans="1:4" ht="22.5" hidden="1" customHeight="1">
      <c r="A13" s="404" t="s">
        <v>7</v>
      </c>
      <c r="B13" s="405"/>
      <c r="C13" s="187" t="s">
        <v>1532</v>
      </c>
      <c r="D13" s="272" t="s">
        <v>2276</v>
      </c>
    </row>
    <row r="14" spans="1:4" ht="15.75" hidden="1">
      <c r="A14" s="192">
        <v>1</v>
      </c>
      <c r="B14" s="189" t="s">
        <v>10</v>
      </c>
      <c r="C14" s="193"/>
      <c r="D14" s="193" t="e">
        <f>C14+#REF!</f>
        <v>#REF!</v>
      </c>
    </row>
    <row r="15" spans="1:4" ht="15.75" hidden="1" customHeight="1">
      <c r="A15" s="413" t="s">
        <v>1099</v>
      </c>
      <c r="B15" s="414"/>
      <c r="C15" s="194"/>
      <c r="D15" s="194" t="e">
        <f>D14</f>
        <v>#REF!</v>
      </c>
    </row>
    <row r="16" spans="1:4" ht="15.75" hidden="1">
      <c r="A16" s="143"/>
      <c r="B16" s="143"/>
      <c r="C16" s="143"/>
      <c r="D16" s="143"/>
    </row>
    <row r="17" spans="1:10" ht="17.25" hidden="1" customHeight="1">
      <c r="A17" s="399" t="s">
        <v>11</v>
      </c>
      <c r="B17" s="399"/>
      <c r="C17" s="399"/>
      <c r="D17" s="399"/>
    </row>
    <row r="18" spans="1:10" ht="22.5" hidden="1" customHeight="1">
      <c r="A18" s="404" t="s">
        <v>7</v>
      </c>
      <c r="B18" s="405"/>
      <c r="C18" s="187" t="s">
        <v>1532</v>
      </c>
      <c r="D18" s="272" t="s">
        <v>2276</v>
      </c>
    </row>
    <row r="19" spans="1:10" ht="15.75" hidden="1">
      <c r="A19" s="192">
        <v>1</v>
      </c>
      <c r="B19" s="189" t="s">
        <v>10</v>
      </c>
      <c r="C19" s="102"/>
      <c r="D19" s="193" t="e">
        <f>C19+#REF!</f>
        <v>#REF!</v>
      </c>
    </row>
    <row r="20" spans="1:10" ht="15.75" hidden="1" customHeight="1">
      <c r="A20" s="413" t="s">
        <v>1099</v>
      </c>
      <c r="B20" s="414"/>
      <c r="C20" s="194"/>
      <c r="D20" s="194" t="e">
        <f>D19</f>
        <v>#REF!</v>
      </c>
    </row>
    <row r="21" spans="1:10" ht="67.5" hidden="1" customHeight="1">
      <c r="A21" s="415"/>
      <c r="B21" s="415"/>
      <c r="C21" s="415"/>
      <c r="D21" s="415"/>
    </row>
    <row r="22" spans="1:10" ht="9" customHeight="1">
      <c r="A22" s="416"/>
      <c r="B22" s="416"/>
      <c r="C22" s="114"/>
      <c r="D22" s="114"/>
    </row>
    <row r="23" spans="1:10" ht="36.75" customHeight="1">
      <c r="A23" s="399" t="s">
        <v>2043</v>
      </c>
      <c r="B23" s="399"/>
      <c r="C23" s="399"/>
      <c r="D23" s="399"/>
    </row>
    <row r="24" spans="1:10" ht="15.75" customHeight="1">
      <c r="A24" s="404" t="s">
        <v>1555</v>
      </c>
      <c r="B24" s="405"/>
      <c r="C24" s="274" t="s">
        <v>2289</v>
      </c>
      <c r="D24" s="272" t="s">
        <v>2276</v>
      </c>
    </row>
    <row r="25" spans="1:10" ht="21" customHeight="1">
      <c r="A25" s="409" t="s">
        <v>10</v>
      </c>
      <c r="B25" s="410"/>
      <c r="C25" s="155">
        <v>127250</v>
      </c>
      <c r="D25" s="155">
        <v>127195</v>
      </c>
      <c r="H25" s="76"/>
      <c r="J25" s="76"/>
    </row>
    <row r="26" spans="1:10" ht="15.75" customHeight="1">
      <c r="A26" s="402" t="s">
        <v>1099</v>
      </c>
      <c r="B26" s="403"/>
      <c r="C26" s="156">
        <f>C25</f>
        <v>127250</v>
      </c>
      <c r="D26" s="156">
        <f t="shared" ref="D26" si="1">D25</f>
        <v>127195</v>
      </c>
      <c r="H26" s="76"/>
      <c r="I26" s="76"/>
      <c r="J26" s="76"/>
    </row>
    <row r="27" spans="1:10" ht="8.25" customHeight="1">
      <c r="A27" s="195"/>
      <c r="B27" s="190"/>
      <c r="C27" s="196"/>
      <c r="D27" s="196"/>
      <c r="H27" s="76"/>
      <c r="I27" s="76"/>
      <c r="J27" s="76"/>
    </row>
    <row r="28" spans="1:10" ht="23.25" customHeight="1">
      <c r="A28" s="399" t="s">
        <v>11</v>
      </c>
      <c r="B28" s="399"/>
      <c r="C28" s="399"/>
      <c r="D28" s="399"/>
    </row>
    <row r="29" spans="1:10" ht="15.75" customHeight="1">
      <c r="A29" s="404" t="s">
        <v>1555</v>
      </c>
      <c r="B29" s="405"/>
      <c r="C29" s="274" t="s">
        <v>2289</v>
      </c>
      <c r="D29" s="272" t="s">
        <v>2276</v>
      </c>
      <c r="J29" s="109"/>
    </row>
    <row r="30" spans="1:10" ht="15.75" hidden="1" customHeight="1">
      <c r="A30" s="406" t="s">
        <v>1327</v>
      </c>
      <c r="B30" s="407"/>
      <c r="C30" s="197">
        <v>0</v>
      </c>
      <c r="D30" s="197">
        <v>0</v>
      </c>
      <c r="J30" s="109"/>
    </row>
    <row r="31" spans="1:10" ht="15.75" customHeight="1">
      <c r="A31" s="406" t="s">
        <v>2044</v>
      </c>
      <c r="B31" s="407"/>
      <c r="C31" s="197">
        <v>799975</v>
      </c>
      <c r="D31" s="197">
        <v>799974.86</v>
      </c>
      <c r="J31" s="109"/>
    </row>
    <row r="32" spans="1:10" ht="15.75" customHeight="1">
      <c r="A32" s="406" t="s">
        <v>8</v>
      </c>
      <c r="B32" s="407"/>
      <c r="C32" s="197">
        <v>1200000</v>
      </c>
      <c r="D32" s="197">
        <v>1144495.5900000001</v>
      </c>
      <c r="J32" s="109"/>
    </row>
    <row r="33" spans="1:10" ht="15.75" customHeight="1">
      <c r="A33" s="406" t="s">
        <v>636</v>
      </c>
      <c r="B33" s="407"/>
      <c r="C33" s="197">
        <v>2250000</v>
      </c>
      <c r="D33" s="197">
        <v>211290.8</v>
      </c>
      <c r="J33" s="109"/>
    </row>
    <row r="34" spans="1:10" ht="17.25" customHeight="1">
      <c r="A34" s="409" t="s">
        <v>10</v>
      </c>
      <c r="B34" s="410"/>
      <c r="C34" s="155">
        <v>33889011</v>
      </c>
      <c r="D34" s="197">
        <f>18589299.95+10126000</f>
        <v>28715299.949999999</v>
      </c>
      <c r="J34" s="109"/>
    </row>
    <row r="35" spans="1:10" ht="15.75" customHeight="1">
      <c r="A35" s="402" t="s">
        <v>1099</v>
      </c>
      <c r="B35" s="403"/>
      <c r="C35" s="156">
        <v>38138986</v>
      </c>
      <c r="D35" s="156">
        <f t="shared" ref="D35" si="2">D30+D31+D32+D33+D34</f>
        <v>30871061.199999999</v>
      </c>
    </row>
    <row r="36" spans="1:10" ht="9" customHeight="1">
      <c r="A36" s="195"/>
      <c r="B36" s="190"/>
      <c r="C36" s="196"/>
      <c r="D36" s="196"/>
    </row>
    <row r="37" spans="1:10" ht="43.5" hidden="1" customHeight="1">
      <c r="A37" s="399" t="s">
        <v>2045</v>
      </c>
      <c r="B37" s="399"/>
      <c r="C37" s="399"/>
      <c r="D37" s="399"/>
    </row>
    <row r="38" spans="1:10" ht="15.75" hidden="1" customHeight="1">
      <c r="A38" s="404" t="s">
        <v>1555</v>
      </c>
      <c r="B38" s="405"/>
      <c r="C38" s="274" t="s">
        <v>2289</v>
      </c>
      <c r="D38" s="272" t="s">
        <v>2276</v>
      </c>
    </row>
    <row r="39" spans="1:10" ht="15.75" hidden="1" customHeight="1">
      <c r="A39" s="409" t="s">
        <v>10</v>
      </c>
      <c r="B39" s="410"/>
      <c r="C39" s="155">
        <v>6000000</v>
      </c>
      <c r="D39" s="155" t="e">
        <f>C39+#REF!</f>
        <v>#REF!</v>
      </c>
    </row>
    <row r="40" spans="1:10" ht="15.75" hidden="1" customHeight="1">
      <c r="A40" s="402" t="s">
        <v>1099</v>
      </c>
      <c r="B40" s="403"/>
      <c r="C40" s="156">
        <f>C39</f>
        <v>6000000</v>
      </c>
      <c r="D40" s="156" t="e">
        <f>D39</f>
        <v>#REF!</v>
      </c>
    </row>
    <row r="41" spans="1:10" ht="15.75" hidden="1">
      <c r="A41" s="195"/>
      <c r="B41" s="195"/>
      <c r="C41" s="195"/>
      <c r="D41" s="195"/>
    </row>
    <row r="42" spans="1:10" ht="39" customHeight="1">
      <c r="A42" s="399" t="s">
        <v>2173</v>
      </c>
      <c r="B42" s="399"/>
      <c r="C42" s="399"/>
      <c r="D42" s="399"/>
    </row>
    <row r="43" spans="1:10" ht="15.75" customHeight="1">
      <c r="A43" s="404" t="s">
        <v>1555</v>
      </c>
      <c r="B43" s="405"/>
      <c r="C43" s="274" t="s">
        <v>2289</v>
      </c>
      <c r="D43" s="272" t="s">
        <v>2276</v>
      </c>
    </row>
    <row r="44" spans="1:10" ht="15.75" customHeight="1">
      <c r="A44" s="406" t="s">
        <v>1327</v>
      </c>
      <c r="B44" s="407"/>
      <c r="C44" s="197">
        <v>145931.07</v>
      </c>
      <c r="D44" s="197">
        <v>85687.82</v>
      </c>
    </row>
    <row r="45" spans="1:10" ht="15.75" customHeight="1">
      <c r="A45" s="406" t="s">
        <v>8</v>
      </c>
      <c r="B45" s="407"/>
      <c r="C45" s="197">
        <v>65585.34</v>
      </c>
      <c r="D45" s="197">
        <v>65585.34</v>
      </c>
    </row>
    <row r="46" spans="1:10" ht="15.75" customHeight="1">
      <c r="A46" s="406" t="s">
        <v>636</v>
      </c>
      <c r="B46" s="407"/>
      <c r="C46" s="197">
        <v>361170.62</v>
      </c>
      <c r="D46" s="197">
        <v>50355.199999999997</v>
      </c>
    </row>
    <row r="47" spans="1:10" ht="15.75" customHeight="1">
      <c r="A47" s="409" t="s">
        <v>10</v>
      </c>
      <c r="B47" s="410"/>
      <c r="C47" s="197">
        <v>127312.97</v>
      </c>
      <c r="D47" s="197">
        <v>127300</v>
      </c>
    </row>
    <row r="48" spans="1:10" ht="15.75" customHeight="1">
      <c r="A48" s="402" t="s">
        <v>1099</v>
      </c>
      <c r="B48" s="403"/>
      <c r="C48" s="155">
        <v>700000</v>
      </c>
      <c r="D48" s="198">
        <f>SUM(D44:D47)</f>
        <v>328928.36</v>
      </c>
    </row>
    <row r="49" spans="1:4" ht="9" customHeight="1">
      <c r="A49" s="195"/>
      <c r="B49" s="195"/>
      <c r="C49" s="195"/>
      <c r="D49" s="195"/>
    </row>
    <row r="50" spans="1:4" ht="41.25" customHeight="1">
      <c r="A50" s="399" t="s">
        <v>2174</v>
      </c>
      <c r="B50" s="399"/>
      <c r="C50" s="399"/>
      <c r="D50" s="399"/>
    </row>
    <row r="51" spans="1:4" ht="15.75" customHeight="1">
      <c r="A51" s="404" t="s">
        <v>1555</v>
      </c>
      <c r="B51" s="405"/>
      <c r="C51" s="274" t="s">
        <v>2289</v>
      </c>
      <c r="D51" s="272" t="s">
        <v>2276</v>
      </c>
    </row>
    <row r="52" spans="1:4" ht="15.75" customHeight="1">
      <c r="A52" s="409" t="s">
        <v>10</v>
      </c>
      <c r="B52" s="410"/>
      <c r="C52" s="197">
        <v>28000</v>
      </c>
      <c r="D52" s="197">
        <v>27948</v>
      </c>
    </row>
    <row r="53" spans="1:4" ht="15.75" customHeight="1">
      <c r="A53" s="402" t="s">
        <v>1099</v>
      </c>
      <c r="B53" s="403"/>
      <c r="C53" s="155">
        <v>28000</v>
      </c>
      <c r="D53" s="198">
        <f>D52</f>
        <v>27948</v>
      </c>
    </row>
    <row r="54" spans="1:4" ht="6" customHeight="1">
      <c r="A54" s="143"/>
      <c r="B54" s="143"/>
      <c r="C54" s="143"/>
      <c r="D54" s="143"/>
    </row>
    <row r="55" spans="1:4" ht="81" customHeight="1">
      <c r="A55" s="399" t="s">
        <v>2175</v>
      </c>
      <c r="B55" s="399"/>
      <c r="C55" s="399"/>
      <c r="D55" s="399"/>
    </row>
    <row r="56" spans="1:4" ht="15.75" customHeight="1">
      <c r="A56" s="404" t="s">
        <v>1555</v>
      </c>
      <c r="B56" s="405"/>
      <c r="C56" s="274" t="s">
        <v>2289</v>
      </c>
      <c r="D56" s="272" t="s">
        <v>2276</v>
      </c>
    </row>
    <row r="57" spans="1:4" ht="15.75" customHeight="1">
      <c r="A57" s="409" t="s">
        <v>10</v>
      </c>
      <c r="B57" s="410"/>
      <c r="C57" s="197">
        <v>10000000</v>
      </c>
      <c r="D57" s="197">
        <v>10000000</v>
      </c>
    </row>
    <row r="58" spans="1:4" ht="15.75" customHeight="1">
      <c r="A58" s="402" t="s">
        <v>1099</v>
      </c>
      <c r="B58" s="403"/>
      <c r="C58" s="155">
        <v>10000000</v>
      </c>
      <c r="D58" s="198">
        <f>D57</f>
        <v>10000000</v>
      </c>
    </row>
    <row r="59" spans="1:4" ht="7.5" customHeight="1">
      <c r="A59" s="191"/>
      <c r="B59" s="191"/>
      <c r="C59" s="199"/>
      <c r="D59" s="201"/>
    </row>
    <row r="60" spans="1:4" ht="51.75" customHeight="1">
      <c r="A60" s="399" t="s">
        <v>2139</v>
      </c>
      <c r="B60" s="399"/>
      <c r="C60" s="399"/>
      <c r="D60" s="399"/>
    </row>
    <row r="61" spans="1:4" ht="15.75" customHeight="1">
      <c r="A61" s="404" t="s">
        <v>1555</v>
      </c>
      <c r="B61" s="405"/>
      <c r="C61" s="274" t="s">
        <v>2289</v>
      </c>
      <c r="D61" s="272" t="s">
        <v>2276</v>
      </c>
    </row>
    <row r="62" spans="1:4" ht="15.75" customHeight="1">
      <c r="A62" s="409" t="s">
        <v>10</v>
      </c>
      <c r="B62" s="410"/>
      <c r="C62" s="155">
        <v>15575040</v>
      </c>
      <c r="D62" s="155">
        <v>15575040</v>
      </c>
    </row>
    <row r="63" spans="1:4" ht="15.75" customHeight="1">
      <c r="A63" s="402" t="s">
        <v>1099</v>
      </c>
      <c r="B63" s="403"/>
      <c r="C63" s="156">
        <v>15575040</v>
      </c>
      <c r="D63" s="156">
        <f t="shared" ref="D63" si="3">D62</f>
        <v>15575040</v>
      </c>
    </row>
    <row r="64" spans="1:4" ht="8.25" customHeight="1">
      <c r="A64" s="191"/>
      <c r="B64" s="191"/>
      <c r="C64" s="199"/>
      <c r="D64" s="201"/>
    </row>
    <row r="65" spans="1:4" ht="65.25" customHeight="1">
      <c r="A65" s="399" t="s">
        <v>2166</v>
      </c>
      <c r="B65" s="399"/>
      <c r="C65" s="399"/>
      <c r="D65" s="399"/>
    </row>
    <row r="66" spans="1:4" ht="15.75" customHeight="1">
      <c r="A66" s="404" t="s">
        <v>1555</v>
      </c>
      <c r="B66" s="405"/>
      <c r="C66" s="274" t="s">
        <v>2289</v>
      </c>
      <c r="D66" s="272" t="s">
        <v>2276</v>
      </c>
    </row>
    <row r="67" spans="1:4" ht="15.75" customHeight="1">
      <c r="A67" s="406" t="s">
        <v>1327</v>
      </c>
      <c r="B67" s="407"/>
      <c r="C67" s="197">
        <v>577980</v>
      </c>
      <c r="D67" s="197">
        <v>173394</v>
      </c>
    </row>
    <row r="68" spans="1:4" ht="15.75" customHeight="1">
      <c r="A68" s="406" t="s">
        <v>8</v>
      </c>
      <c r="B68" s="407"/>
      <c r="C68" s="197">
        <v>33512700</v>
      </c>
      <c r="D68" s="197">
        <v>10053810</v>
      </c>
    </row>
    <row r="69" spans="1:4" ht="15.75" customHeight="1">
      <c r="A69" s="406" t="s">
        <v>635</v>
      </c>
      <c r="B69" s="407"/>
      <c r="C69" s="197">
        <v>9171630</v>
      </c>
      <c r="D69" s="197">
        <v>2751489</v>
      </c>
    </row>
    <row r="70" spans="1:4" ht="15.75" customHeight="1">
      <c r="A70" s="409" t="s">
        <v>10</v>
      </c>
      <c r="B70" s="410"/>
      <c r="C70" s="197">
        <v>4872270</v>
      </c>
      <c r="D70" s="197">
        <v>4828795</v>
      </c>
    </row>
    <row r="71" spans="1:4" ht="15.75" customHeight="1">
      <c r="A71" s="402" t="s">
        <v>1099</v>
      </c>
      <c r="B71" s="403"/>
      <c r="C71" s="156">
        <v>48134580</v>
      </c>
      <c r="D71" s="198">
        <f>SUM(D67:D70)</f>
        <v>17807488</v>
      </c>
    </row>
    <row r="72" spans="1:4" ht="9.75" customHeight="1">
      <c r="A72" s="143"/>
      <c r="B72" s="143"/>
      <c r="C72" s="143"/>
      <c r="D72" s="143"/>
    </row>
    <row r="73" spans="1:4" ht="51" customHeight="1">
      <c r="A73" s="399" t="s">
        <v>2186</v>
      </c>
      <c r="B73" s="399"/>
      <c r="C73" s="399"/>
      <c r="D73" s="399"/>
    </row>
    <row r="74" spans="1:4" ht="15.75" customHeight="1">
      <c r="A74" s="404" t="s">
        <v>1555</v>
      </c>
      <c r="B74" s="405"/>
      <c r="C74" s="274" t="s">
        <v>2289</v>
      </c>
      <c r="D74" s="272" t="s">
        <v>2276</v>
      </c>
    </row>
    <row r="75" spans="1:4" ht="15.75" customHeight="1">
      <c r="A75" s="406" t="s">
        <v>1327</v>
      </c>
      <c r="B75" s="407"/>
      <c r="C75" s="197">
        <v>520182</v>
      </c>
      <c r="D75" s="197">
        <v>520182</v>
      </c>
    </row>
    <row r="76" spans="1:4" ht="15.75" customHeight="1">
      <c r="A76" s="406" t="s">
        <v>8</v>
      </c>
      <c r="B76" s="407"/>
      <c r="C76" s="197">
        <v>11442979.5</v>
      </c>
      <c r="D76" s="197">
        <v>11442980</v>
      </c>
    </row>
    <row r="77" spans="1:4" ht="15.75" customHeight="1">
      <c r="A77" s="406" t="s">
        <v>635</v>
      </c>
      <c r="B77" s="407"/>
      <c r="C77" s="197">
        <v>2476340.0999999996</v>
      </c>
      <c r="D77" s="197">
        <v>2476340.1</v>
      </c>
    </row>
    <row r="78" spans="1:4" ht="15.75" customHeight="1">
      <c r="A78" s="409" t="s">
        <v>10</v>
      </c>
      <c r="B78" s="410"/>
      <c r="C78" s="197">
        <v>3897816</v>
      </c>
      <c r="D78" s="197">
        <v>3863036</v>
      </c>
    </row>
    <row r="79" spans="1:4" ht="15.75" customHeight="1">
      <c r="A79" s="402" t="s">
        <v>1099</v>
      </c>
      <c r="B79" s="403"/>
      <c r="C79" s="156">
        <v>18337317.600000001</v>
      </c>
      <c r="D79" s="198">
        <f>SUM(D75:D78)</f>
        <v>18302538.100000001</v>
      </c>
    </row>
    <row r="80" spans="1:4" ht="9.75" customHeight="1">
      <c r="A80" s="143"/>
      <c r="B80" s="143"/>
      <c r="C80" s="143"/>
      <c r="D80" s="143"/>
    </row>
    <row r="81" spans="1:4" ht="54" customHeight="1">
      <c r="A81" s="399" t="s">
        <v>2187</v>
      </c>
      <c r="B81" s="399"/>
      <c r="C81" s="399"/>
      <c r="D81" s="399"/>
    </row>
    <row r="82" spans="1:4" ht="15.75" customHeight="1">
      <c r="A82" s="404" t="s">
        <v>1555</v>
      </c>
      <c r="B82" s="405"/>
      <c r="C82" s="274" t="s">
        <v>2289</v>
      </c>
      <c r="D82" s="272" t="s">
        <v>2276</v>
      </c>
    </row>
    <row r="83" spans="1:4" ht="15.75" customHeight="1">
      <c r="A83" s="406" t="s">
        <v>636</v>
      </c>
      <c r="B83" s="407"/>
      <c r="C83" s="197">
        <v>8613</v>
      </c>
      <c r="D83" s="197">
        <v>8613</v>
      </c>
    </row>
    <row r="84" spans="1:4" ht="15.75" customHeight="1">
      <c r="A84" s="406" t="s">
        <v>8</v>
      </c>
      <c r="B84" s="407"/>
      <c r="C84" s="197">
        <v>10765</v>
      </c>
      <c r="D84" s="197">
        <v>10765</v>
      </c>
    </row>
    <row r="85" spans="1:4" ht="15.75" customHeight="1">
      <c r="A85" s="406" t="s">
        <v>635</v>
      </c>
      <c r="B85" s="407"/>
      <c r="C85" s="197">
        <v>9918</v>
      </c>
      <c r="D85" s="197">
        <v>9918</v>
      </c>
    </row>
    <row r="86" spans="1:4" ht="15.75" customHeight="1">
      <c r="A86" s="409" t="s">
        <v>10</v>
      </c>
      <c r="B86" s="410"/>
      <c r="C86" s="197">
        <v>1277691</v>
      </c>
      <c r="D86" s="197">
        <v>18861</v>
      </c>
    </row>
    <row r="87" spans="1:4" ht="15.75" customHeight="1">
      <c r="A87" s="402" t="s">
        <v>1099</v>
      </c>
      <c r="B87" s="403"/>
      <c r="C87" s="156">
        <v>1306987</v>
      </c>
      <c r="D87" s="198">
        <f>SUM(D83:D86)</f>
        <v>48157</v>
      </c>
    </row>
    <row r="88" spans="1:4" ht="9.75" customHeight="1">
      <c r="A88" s="143"/>
      <c r="B88" s="143"/>
      <c r="C88" s="143"/>
      <c r="D88" s="143"/>
    </row>
    <row r="89" spans="1:4" ht="20.25" customHeight="1">
      <c r="A89" s="399" t="s">
        <v>2196</v>
      </c>
      <c r="B89" s="399"/>
      <c r="C89" s="399"/>
      <c r="D89" s="399"/>
    </row>
    <row r="90" spans="1:4" ht="15.75" customHeight="1">
      <c r="A90" s="404" t="s">
        <v>1555</v>
      </c>
      <c r="B90" s="405"/>
      <c r="C90" s="274" t="s">
        <v>2289</v>
      </c>
      <c r="D90" s="272" t="s">
        <v>2276</v>
      </c>
    </row>
    <row r="91" spans="1:4" ht="15.75" customHeight="1">
      <c r="A91" s="409" t="s">
        <v>10</v>
      </c>
      <c r="B91" s="410"/>
      <c r="C91" s="155">
        <v>10000000</v>
      </c>
      <c r="D91" s="155">
        <v>9203859.9000000004</v>
      </c>
    </row>
    <row r="92" spans="1:4" ht="15.75" customHeight="1">
      <c r="A92" s="402" t="s">
        <v>1099</v>
      </c>
      <c r="B92" s="403"/>
      <c r="C92" s="156">
        <v>10000000</v>
      </c>
      <c r="D92" s="156">
        <f t="shared" ref="D92" si="4">D91</f>
        <v>9203859.9000000004</v>
      </c>
    </row>
    <row r="93" spans="1:4" ht="66" hidden="1" customHeight="1">
      <c r="A93" s="399"/>
      <c r="B93" s="399"/>
      <c r="C93" s="399"/>
      <c r="D93" s="399"/>
    </row>
    <row r="94" spans="1:4" ht="15.75" hidden="1" customHeight="1">
      <c r="A94" s="404"/>
      <c r="B94" s="405"/>
      <c r="C94" s="187"/>
      <c r="D94" s="187"/>
    </row>
    <row r="95" spans="1:4" ht="15.75" hidden="1" customHeight="1">
      <c r="A95" s="406"/>
      <c r="B95" s="407"/>
      <c r="C95" s="197"/>
      <c r="D95" s="197"/>
    </row>
    <row r="96" spans="1:4" ht="15.75" hidden="1" customHeight="1">
      <c r="A96" s="402"/>
      <c r="B96" s="403"/>
      <c r="C96" s="156"/>
      <c r="D96" s="198"/>
    </row>
    <row r="97" spans="1:4" ht="15.75" hidden="1">
      <c r="A97" s="191"/>
      <c r="B97" s="191"/>
      <c r="C97" s="200"/>
      <c r="D97" s="201"/>
    </row>
    <row r="98" spans="1:4" ht="9" customHeight="1">
      <c r="A98" s="191"/>
      <c r="B98" s="191"/>
      <c r="C98" s="200"/>
      <c r="D98" s="201"/>
    </row>
    <row r="99" spans="1:4" ht="42" customHeight="1">
      <c r="A99" s="399" t="s">
        <v>2241</v>
      </c>
      <c r="B99" s="399"/>
      <c r="C99" s="399"/>
      <c r="D99" s="399"/>
    </row>
    <row r="100" spans="1:4" ht="15.75" customHeight="1">
      <c r="A100" s="404" t="s">
        <v>1555</v>
      </c>
      <c r="B100" s="405"/>
      <c r="C100" s="274" t="s">
        <v>2289</v>
      </c>
      <c r="D100" s="272" t="s">
        <v>2276</v>
      </c>
    </row>
    <row r="101" spans="1:4" ht="15.75" customHeight="1">
      <c r="A101" s="409" t="s">
        <v>10</v>
      </c>
      <c r="B101" s="410"/>
      <c r="C101" s="318">
        <v>2705822.63</v>
      </c>
      <c r="D101" s="318">
        <f>677422.69+2028348.7</f>
        <v>2705771.3899999997</v>
      </c>
    </row>
    <row r="102" spans="1:4" ht="15.75" customHeight="1">
      <c r="A102" s="406" t="s">
        <v>8</v>
      </c>
      <c r="B102" s="407"/>
      <c r="C102" s="318">
        <v>938680.12</v>
      </c>
      <c r="D102" s="318">
        <f>286377.12+254557.44</f>
        <v>540934.56000000006</v>
      </c>
    </row>
    <row r="103" spans="1:4" ht="15.75" customHeight="1">
      <c r="A103" s="402" t="s">
        <v>1099</v>
      </c>
      <c r="B103" s="403"/>
      <c r="C103" s="156">
        <v>3644502.75</v>
      </c>
      <c r="D103" s="198">
        <f>SUM(D101:D102)</f>
        <v>3246705.9499999997</v>
      </c>
    </row>
    <row r="104" spans="1:4" ht="11.25" customHeight="1">
      <c r="A104" s="191"/>
      <c r="B104" s="191"/>
      <c r="C104" s="200"/>
      <c r="D104" s="201"/>
    </row>
    <row r="105" spans="1:4" ht="33.75" customHeight="1">
      <c r="A105" s="399" t="s">
        <v>2321</v>
      </c>
      <c r="B105" s="399"/>
      <c r="C105" s="399"/>
      <c r="D105" s="399"/>
    </row>
    <row r="106" spans="1:4" ht="15.75" customHeight="1">
      <c r="A106" s="404" t="s">
        <v>1555</v>
      </c>
      <c r="B106" s="405"/>
      <c r="C106" s="274" t="s">
        <v>2289</v>
      </c>
      <c r="D106" s="272" t="s">
        <v>2276</v>
      </c>
    </row>
    <row r="107" spans="1:4" ht="15.75" customHeight="1">
      <c r="A107" s="409" t="s">
        <v>10</v>
      </c>
      <c r="B107" s="410"/>
      <c r="C107" s="318">
        <v>2789514</v>
      </c>
      <c r="D107" s="318">
        <v>2789514</v>
      </c>
    </row>
    <row r="108" spans="1:4" ht="15.75" customHeight="1">
      <c r="A108" s="406" t="s">
        <v>2268</v>
      </c>
      <c r="B108" s="407"/>
      <c r="C108" s="318">
        <v>314678</v>
      </c>
      <c r="D108" s="318">
        <v>314678</v>
      </c>
    </row>
    <row r="109" spans="1:4" ht="15.75">
      <c r="A109" s="402" t="s">
        <v>1099</v>
      </c>
      <c r="B109" s="403"/>
      <c r="C109" s="156">
        <v>3104192</v>
      </c>
      <c r="D109" s="198">
        <f>SUM(D107:D108)</f>
        <v>3104192</v>
      </c>
    </row>
    <row r="110" spans="1:4" ht="24" customHeight="1">
      <c r="A110" s="408" t="s">
        <v>2056</v>
      </c>
      <c r="B110" s="408"/>
      <c r="C110" s="154">
        <f>C11+C26+C35+C48+C53+C58+C63+C71+C79+C87+C92+C96+C103</f>
        <v>160229663.34999999</v>
      </c>
      <c r="D110" s="154">
        <f>D11+D26+D35+D48+D53+D58+D63+D71+D79+D87+D92+D96+D103+D109</f>
        <v>115016513.42999999</v>
      </c>
    </row>
    <row r="111" spans="1:4" ht="15.75" customHeight="1">
      <c r="A111" s="178"/>
      <c r="B111" s="178"/>
      <c r="C111" s="154"/>
      <c r="D111" s="154"/>
    </row>
    <row r="112" spans="1:4" ht="15.75" customHeight="1">
      <c r="A112" s="178"/>
      <c r="B112" s="178"/>
      <c r="C112" s="154"/>
      <c r="D112" s="154"/>
    </row>
    <row r="113" spans="1:4" ht="43.5" hidden="1" customHeight="1">
      <c r="A113" s="401"/>
      <c r="B113" s="401"/>
      <c r="C113" s="401"/>
      <c r="D113" s="401"/>
    </row>
    <row r="114" spans="1:4" hidden="1"/>
  </sheetData>
  <sheetProtection formatCells="0" formatColumns="0" formatRows="0" insertColumns="0" insertRows="0" insertHyperlinks="0" deleteColumns="0" deleteRows="0" sort="0" autoFilter="0" pivotTables="0"/>
  <mergeCells count="93">
    <mergeCell ref="A24:B24"/>
    <mergeCell ref="A15:B15"/>
    <mergeCell ref="A20:B20"/>
    <mergeCell ref="A21:D21"/>
    <mergeCell ref="A17:D17"/>
    <mergeCell ref="A22:B22"/>
    <mergeCell ref="A23:D23"/>
    <mergeCell ref="A18:B18"/>
    <mergeCell ref="A7:D7"/>
    <mergeCell ref="A8:D8"/>
    <mergeCell ref="B1:D1"/>
    <mergeCell ref="B2:D2"/>
    <mergeCell ref="B3:D3"/>
    <mergeCell ref="B4:D4"/>
    <mergeCell ref="A9:B9"/>
    <mergeCell ref="A12:D12"/>
    <mergeCell ref="A10:B10"/>
    <mergeCell ref="A11:B11"/>
    <mergeCell ref="A13:B13"/>
    <mergeCell ref="A26:B26"/>
    <mergeCell ref="A25:B25"/>
    <mergeCell ref="A28:D28"/>
    <mergeCell ref="A29:B29"/>
    <mergeCell ref="A34:B34"/>
    <mergeCell ref="A30:B30"/>
    <mergeCell ref="A31:B31"/>
    <mergeCell ref="A32:B32"/>
    <mergeCell ref="A33:B33"/>
    <mergeCell ref="A42:D42"/>
    <mergeCell ref="A43:B43"/>
    <mergeCell ref="A44:B44"/>
    <mergeCell ref="A45:B45"/>
    <mergeCell ref="A35:B35"/>
    <mergeCell ref="A40:B40"/>
    <mergeCell ref="A37:D37"/>
    <mergeCell ref="A38:B38"/>
    <mergeCell ref="A39:B39"/>
    <mergeCell ref="A61:B61"/>
    <mergeCell ref="A62:B62"/>
    <mergeCell ref="A50:D50"/>
    <mergeCell ref="A51:B51"/>
    <mergeCell ref="A46:B46"/>
    <mergeCell ref="A47:B47"/>
    <mergeCell ref="A48:B48"/>
    <mergeCell ref="A52:B52"/>
    <mergeCell ref="A53:B53"/>
    <mergeCell ref="A55:D55"/>
    <mergeCell ref="A56:B56"/>
    <mergeCell ref="A57:B57"/>
    <mergeCell ref="A66:B66"/>
    <mergeCell ref="A89:D89"/>
    <mergeCell ref="A90:B90"/>
    <mergeCell ref="A81:D81"/>
    <mergeCell ref="A77:B77"/>
    <mergeCell ref="A67:B67"/>
    <mergeCell ref="A68:B68"/>
    <mergeCell ref="A69:B69"/>
    <mergeCell ref="A76:B76"/>
    <mergeCell ref="A73:D73"/>
    <mergeCell ref="A74:B74"/>
    <mergeCell ref="A75:B75"/>
    <mergeCell ref="A91:B91"/>
    <mergeCell ref="A92:B92"/>
    <mergeCell ref="A58:B58"/>
    <mergeCell ref="A78:B78"/>
    <mergeCell ref="A79:B79"/>
    <mergeCell ref="A70:B70"/>
    <mergeCell ref="A71:B71"/>
    <mergeCell ref="A87:B87"/>
    <mergeCell ref="A82:B82"/>
    <mergeCell ref="A83:B83"/>
    <mergeCell ref="A84:B84"/>
    <mergeCell ref="A85:B85"/>
    <mergeCell ref="A86:B86"/>
    <mergeCell ref="A60:D60"/>
    <mergeCell ref="A63:B63"/>
    <mergeCell ref="A65:D65"/>
    <mergeCell ref="A113:D113"/>
    <mergeCell ref="A96:B96"/>
    <mergeCell ref="A93:D93"/>
    <mergeCell ref="A94:B94"/>
    <mergeCell ref="A95:B95"/>
    <mergeCell ref="A110:B110"/>
    <mergeCell ref="A99:D99"/>
    <mergeCell ref="A100:B100"/>
    <mergeCell ref="A102:B102"/>
    <mergeCell ref="A103:B103"/>
    <mergeCell ref="A101:B101"/>
    <mergeCell ref="A105:D105"/>
    <mergeCell ref="A106:B106"/>
    <mergeCell ref="A107:B107"/>
    <mergeCell ref="A108:B108"/>
    <mergeCell ref="A109:B109"/>
  </mergeCells>
  <phoneticPr fontId="28" type="noConversion"/>
  <pageMargins left="0.78740157480314965" right="0.39370078740157483" top="0.39370078740157483" bottom="0.39370078740157483" header="0.19685039370078741" footer="0.19685039370078741"/>
  <pageSetup paperSize="9" fitToHeight="0" orientation="portrait" r:id="rId1"/>
  <headerFooter alignWithMargins="0">
    <oddFooter>&amp;C&amp;P</oddFooter>
  </headerFooter>
  <rowBreaks count="1" manualBreakCount="1">
    <brk id="54" max="4" man="1"/>
  </rowBreaks>
</worksheet>
</file>

<file path=xl/worksheets/sheet12.xml><?xml version="1.0" encoding="utf-8"?>
<worksheet xmlns="http://schemas.openxmlformats.org/spreadsheetml/2006/main" xmlns:r="http://schemas.openxmlformats.org/officeDocument/2006/relationships">
  <dimension ref="A1:C17"/>
  <sheetViews>
    <sheetView showGridLines="0" workbookViewId="0">
      <selection activeCell="C14" sqref="C14"/>
    </sheetView>
  </sheetViews>
  <sheetFormatPr defaultColWidth="9.140625" defaultRowHeight="12.75" outlineLevelCol="1"/>
  <cols>
    <col min="1" max="1" width="51.85546875" style="115" customWidth="1"/>
    <col min="2" max="2" width="20.140625" style="115" hidden="1" customWidth="1" outlineLevel="1"/>
    <col min="3" max="3" width="13" style="115" customWidth="1" collapsed="1"/>
    <col min="4" max="16384" width="9.140625" style="115"/>
  </cols>
  <sheetData>
    <row r="1" spans="1:3" ht="15.75">
      <c r="A1" s="333" t="s">
        <v>2177</v>
      </c>
      <c r="B1" s="333"/>
      <c r="C1" s="333"/>
    </row>
    <row r="2" spans="1:3" ht="15.75">
      <c r="A2" s="333" t="s">
        <v>1052</v>
      </c>
      <c r="B2" s="333"/>
      <c r="C2" s="333"/>
    </row>
    <row r="3" spans="1:3" ht="15.75">
      <c r="A3" s="333" t="s">
        <v>705</v>
      </c>
      <c r="B3" s="333"/>
      <c r="C3" s="333"/>
    </row>
    <row r="4" spans="1:3" ht="15.75">
      <c r="A4" s="342" t="s">
        <v>1213</v>
      </c>
      <c r="B4" s="342"/>
      <c r="C4" s="342"/>
    </row>
    <row r="5" spans="1:3">
      <c r="A5" s="283"/>
      <c r="B5" s="283"/>
      <c r="C5"/>
    </row>
    <row r="6" spans="1:3">
      <c r="A6"/>
      <c r="B6"/>
      <c r="C6"/>
    </row>
    <row r="7" spans="1:3" ht="37.5" customHeight="1">
      <c r="A7" s="334" t="s">
        <v>2309</v>
      </c>
      <c r="B7" s="334"/>
      <c r="C7" s="334"/>
    </row>
    <row r="8" spans="1:3" ht="18.75">
      <c r="A8" s="275"/>
      <c r="B8" s="275"/>
      <c r="C8"/>
    </row>
    <row r="9" spans="1:3" ht="30" customHeight="1">
      <c r="A9" s="417" t="s">
        <v>2293</v>
      </c>
      <c r="B9" s="417"/>
      <c r="C9" s="417"/>
    </row>
    <row r="10" spans="1:3" ht="18.75">
      <c r="A10" s="24"/>
      <c r="B10" s="24"/>
      <c r="C10"/>
    </row>
    <row r="11" spans="1:3" ht="19.5" thickBot="1">
      <c r="A11" s="24"/>
      <c r="B11" s="24"/>
      <c r="C11"/>
    </row>
    <row r="12" spans="1:3" ht="31.5">
      <c r="A12" s="292" t="s">
        <v>1555</v>
      </c>
      <c r="B12" s="293" t="s">
        <v>2288</v>
      </c>
      <c r="C12" s="294" t="s">
        <v>2276</v>
      </c>
    </row>
    <row r="13" spans="1:3" ht="15.75">
      <c r="A13" s="295" t="s">
        <v>1327</v>
      </c>
      <c r="B13" s="296">
        <v>57000</v>
      </c>
      <c r="C13" s="297">
        <v>57000</v>
      </c>
    </row>
    <row r="14" spans="1:3" ht="15.75">
      <c r="A14" s="295" t="s">
        <v>635</v>
      </c>
      <c r="B14" s="296">
        <v>57000</v>
      </c>
      <c r="C14" s="297">
        <v>57000</v>
      </c>
    </row>
    <row r="15" spans="1:3" ht="15.75">
      <c r="A15" s="295" t="s">
        <v>8</v>
      </c>
      <c r="B15" s="296">
        <v>374000</v>
      </c>
      <c r="C15" s="297">
        <v>374000</v>
      </c>
    </row>
    <row r="16" spans="1:3" ht="15.75">
      <c r="A16" s="295" t="s">
        <v>636</v>
      </c>
      <c r="B16" s="296">
        <v>187000</v>
      </c>
      <c r="C16" s="297">
        <v>187000</v>
      </c>
    </row>
    <row r="17" spans="1:3" ht="16.5" thickBot="1">
      <c r="A17" s="298" t="s">
        <v>1099</v>
      </c>
      <c r="B17" s="299">
        <f>SUM(B13:B16)</f>
        <v>675000</v>
      </c>
      <c r="C17" s="300">
        <f>SUM(C13:C16)</f>
        <v>675000</v>
      </c>
    </row>
  </sheetData>
  <mergeCells count="6">
    <mergeCell ref="A9:C9"/>
    <mergeCell ref="A1:C1"/>
    <mergeCell ref="A2:C2"/>
    <mergeCell ref="A3:C3"/>
    <mergeCell ref="A4:C4"/>
    <mergeCell ref="A7:C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D32"/>
  <sheetViews>
    <sheetView showGridLines="0" topLeftCell="A7" workbookViewId="0">
      <selection activeCell="C16" sqref="C16"/>
    </sheetView>
  </sheetViews>
  <sheetFormatPr defaultColWidth="9.140625" defaultRowHeight="12.75" outlineLevelCol="1"/>
  <cols>
    <col min="1" max="1" width="3.85546875" style="115" customWidth="1"/>
    <col min="2" max="2" width="42.28515625" style="115" customWidth="1"/>
    <col min="3" max="3" width="16.42578125" style="115" hidden="1" customWidth="1" outlineLevel="1"/>
    <col min="4" max="4" width="19.5703125" style="115" customWidth="1" collapsed="1"/>
    <col min="5" max="16384" width="9.140625" style="115"/>
  </cols>
  <sheetData>
    <row r="1" spans="1:4" ht="15.75">
      <c r="A1" s="143"/>
      <c r="B1" s="342" t="s">
        <v>2271</v>
      </c>
      <c r="C1" s="342"/>
      <c r="D1" s="342"/>
    </row>
    <row r="2" spans="1:4" ht="15.75">
      <c r="A2" s="143"/>
      <c r="B2" s="342" t="s">
        <v>1052</v>
      </c>
      <c r="C2" s="342"/>
      <c r="D2" s="342"/>
    </row>
    <row r="3" spans="1:4" ht="15.75">
      <c r="A3" s="143"/>
      <c r="B3" s="342" t="s">
        <v>705</v>
      </c>
      <c r="C3" s="342"/>
      <c r="D3" s="342"/>
    </row>
    <row r="4" spans="1:4" ht="15.75">
      <c r="A4" s="143"/>
      <c r="B4" s="342" t="s">
        <v>1213</v>
      </c>
      <c r="C4" s="342"/>
      <c r="D4" s="342"/>
    </row>
    <row r="5" spans="1:4" ht="15.75">
      <c r="A5" s="143"/>
      <c r="B5" s="276"/>
      <c r="C5" s="276"/>
      <c r="D5" s="143"/>
    </row>
    <row r="6" spans="1:4" ht="15.75">
      <c r="A6" s="143"/>
      <c r="B6" s="143"/>
      <c r="C6" s="143"/>
      <c r="D6" s="143"/>
    </row>
    <row r="7" spans="1:4" ht="36.75" customHeight="1">
      <c r="A7" s="418" t="s">
        <v>2310</v>
      </c>
      <c r="B7" s="418"/>
      <c r="C7" s="418"/>
      <c r="D7" s="418"/>
    </row>
    <row r="8" spans="1:4" ht="15.75">
      <c r="A8" s="151"/>
      <c r="B8" s="151"/>
      <c r="C8" s="151"/>
      <c r="D8" s="151"/>
    </row>
    <row r="9" spans="1:4" ht="87" customHeight="1">
      <c r="A9" s="399" t="s">
        <v>2294</v>
      </c>
      <c r="B9" s="399"/>
      <c r="C9" s="399"/>
      <c r="D9" s="399"/>
    </row>
    <row r="10" spans="1:4" ht="31.5">
      <c r="A10" s="332" t="s">
        <v>7</v>
      </c>
      <c r="B10" s="404"/>
      <c r="C10" s="274" t="s">
        <v>2288</v>
      </c>
      <c r="D10" s="274" t="s">
        <v>2276</v>
      </c>
    </row>
    <row r="11" spans="1:4" ht="15.75">
      <c r="A11" s="301"/>
      <c r="B11" s="302" t="s">
        <v>10</v>
      </c>
      <c r="C11" s="155">
        <v>289107</v>
      </c>
      <c r="D11" s="155">
        <v>311346</v>
      </c>
    </row>
    <row r="12" spans="1:4" ht="15.75">
      <c r="A12" s="301"/>
      <c r="B12" s="302" t="s">
        <v>8</v>
      </c>
      <c r="C12" s="155">
        <v>600453</v>
      </c>
      <c r="D12" s="155">
        <v>578213.86</v>
      </c>
    </row>
    <row r="13" spans="1:4" ht="15.75">
      <c r="A13" s="303"/>
      <c r="B13" s="304" t="s">
        <v>1099</v>
      </c>
      <c r="C13" s="156">
        <v>889560</v>
      </c>
      <c r="D13" s="156">
        <f>D11+D12</f>
        <v>889559.86</v>
      </c>
    </row>
    <row r="14" spans="1:4" ht="15.75">
      <c r="A14" s="305"/>
      <c r="B14" s="305"/>
      <c r="C14" s="305"/>
      <c r="D14" s="305"/>
    </row>
    <row r="15" spans="1:4" ht="68.25" customHeight="1">
      <c r="A15" s="399" t="s">
        <v>2295</v>
      </c>
      <c r="B15" s="399"/>
      <c r="C15" s="399"/>
      <c r="D15" s="399"/>
    </row>
    <row r="16" spans="1:4" ht="31.5">
      <c r="A16" s="332" t="s">
        <v>7</v>
      </c>
      <c r="B16" s="404"/>
      <c r="C16" s="274" t="s">
        <v>2288</v>
      </c>
      <c r="D16" s="274" t="s">
        <v>2276</v>
      </c>
    </row>
    <row r="17" spans="1:4" ht="30" customHeight="1">
      <c r="A17" s="419" t="s">
        <v>2296</v>
      </c>
      <c r="B17" s="420"/>
      <c r="C17" s="420"/>
      <c r="D17" s="421"/>
    </row>
    <row r="18" spans="1:4" ht="15.75">
      <c r="A18" s="301"/>
      <c r="B18" s="302" t="s">
        <v>10</v>
      </c>
      <c r="C18" s="155">
        <v>99875</v>
      </c>
      <c r="D18" s="155">
        <v>99875</v>
      </c>
    </row>
    <row r="19" spans="1:4" ht="15.75">
      <c r="A19" s="303"/>
      <c r="B19" s="304" t="s">
        <v>1099</v>
      </c>
      <c r="C19" s="156">
        <f>C18</f>
        <v>99875</v>
      </c>
      <c r="D19" s="156">
        <f t="shared" ref="D19" si="0">D18</f>
        <v>99875</v>
      </c>
    </row>
    <row r="20" spans="1:4" ht="15.75">
      <c r="A20" s="305"/>
      <c r="B20" s="305"/>
      <c r="C20" s="305"/>
      <c r="D20" s="305"/>
    </row>
    <row r="21" spans="1:4" ht="32.25" customHeight="1">
      <c r="A21" s="419" t="s">
        <v>2297</v>
      </c>
      <c r="B21" s="420"/>
      <c r="C21" s="420"/>
      <c r="D21" s="421"/>
    </row>
    <row r="22" spans="1:4" ht="15.75">
      <c r="A22" s="301"/>
      <c r="B22" s="302" t="s">
        <v>2298</v>
      </c>
      <c r="C22" s="155">
        <v>99000</v>
      </c>
      <c r="D22" s="155">
        <v>99000</v>
      </c>
    </row>
    <row r="23" spans="1:4" ht="15.75">
      <c r="A23" s="303"/>
      <c r="B23" s="304" t="s">
        <v>1099</v>
      </c>
      <c r="C23" s="156">
        <v>99000</v>
      </c>
      <c r="D23" s="156">
        <f t="shared" ref="D23" si="1">D22</f>
        <v>99000</v>
      </c>
    </row>
    <row r="24" spans="1:4" ht="34.5" customHeight="1">
      <c r="A24" s="419" t="s">
        <v>2299</v>
      </c>
      <c r="B24" s="420"/>
      <c r="C24" s="420"/>
      <c r="D24" s="421"/>
    </row>
    <row r="25" spans="1:4" ht="15.75">
      <c r="A25" s="301"/>
      <c r="B25" s="302" t="s">
        <v>2300</v>
      </c>
      <c r="C25" s="155">
        <v>50000</v>
      </c>
      <c r="D25" s="155">
        <v>50000</v>
      </c>
    </row>
    <row r="26" spans="1:4" ht="15.75">
      <c r="A26" s="303"/>
      <c r="B26" s="304" t="s">
        <v>1099</v>
      </c>
      <c r="C26" s="156">
        <v>50000</v>
      </c>
      <c r="D26" s="156">
        <f>D25</f>
        <v>50000</v>
      </c>
    </row>
    <row r="27" spans="1:4" ht="15.75">
      <c r="A27" s="305"/>
      <c r="B27" s="305"/>
      <c r="C27" s="305"/>
      <c r="D27" s="305"/>
    </row>
    <row r="28" spans="1:4" ht="27" customHeight="1">
      <c r="A28" s="419" t="s">
        <v>2301</v>
      </c>
      <c r="B28" s="420"/>
      <c r="C28" s="420"/>
      <c r="D28" s="421"/>
    </row>
    <row r="29" spans="1:4" ht="15.75">
      <c r="A29" s="301"/>
      <c r="B29" s="302" t="s">
        <v>2298</v>
      </c>
      <c r="C29" s="155">
        <v>99000</v>
      </c>
      <c r="D29" s="155">
        <v>99000</v>
      </c>
    </row>
    <row r="30" spans="1:4" ht="15.75">
      <c r="A30" s="303"/>
      <c r="B30" s="304" t="s">
        <v>1099</v>
      </c>
      <c r="C30" s="156">
        <v>99000</v>
      </c>
      <c r="D30" s="156">
        <f t="shared" ref="D30" si="2">D29</f>
        <v>99000</v>
      </c>
    </row>
    <row r="31" spans="1:4" ht="15.75">
      <c r="A31" s="303"/>
      <c r="B31" s="304"/>
      <c r="C31" s="156"/>
      <c r="D31" s="156"/>
    </row>
    <row r="32" spans="1:4" ht="15.75">
      <c r="A32" s="422" t="s">
        <v>2056</v>
      </c>
      <c r="B32" s="423"/>
      <c r="C32" s="306">
        <f>C13+C19+C23</f>
        <v>1088435</v>
      </c>
      <c r="D32" s="306">
        <f>D13+D19+D23+D26+D30</f>
        <v>1237434.8599999999</v>
      </c>
    </row>
  </sheetData>
  <mergeCells count="14">
    <mergeCell ref="A28:D28"/>
    <mergeCell ref="A32:B32"/>
    <mergeCell ref="A10:B10"/>
    <mergeCell ref="A15:D15"/>
    <mergeCell ref="A16:B16"/>
    <mergeCell ref="A17:D17"/>
    <mergeCell ref="A21:D21"/>
    <mergeCell ref="A24:D24"/>
    <mergeCell ref="A9:D9"/>
    <mergeCell ref="B1:D1"/>
    <mergeCell ref="B2:D2"/>
    <mergeCell ref="B3:D3"/>
    <mergeCell ref="B4:D4"/>
    <mergeCell ref="A7:D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codeName="Лист14"/>
  <dimension ref="A1:F31"/>
  <sheetViews>
    <sheetView showGridLines="0" view="pageBreakPreview" zoomScale="115" zoomScaleNormal="100" zoomScaleSheetLayoutView="115" workbookViewId="0">
      <selection activeCell="H23" sqref="H23"/>
    </sheetView>
  </sheetViews>
  <sheetFormatPr defaultColWidth="9.140625" defaultRowHeight="12.75" outlineLevelCol="1"/>
  <cols>
    <col min="1" max="1" width="4.42578125" style="117" customWidth="1"/>
    <col min="2" max="2" width="47.85546875" style="117" customWidth="1"/>
    <col min="3" max="4" width="0" style="117" hidden="1" customWidth="1"/>
    <col min="5" max="5" width="17.5703125" style="117" hidden="1" customWidth="1" outlineLevel="1"/>
    <col min="6" max="6" width="17.5703125" style="117" customWidth="1" collapsed="1"/>
    <col min="7" max="16384" width="9.140625" style="117"/>
  </cols>
  <sheetData>
    <row r="1" spans="1:6" ht="15.75">
      <c r="A1" s="374" t="s">
        <v>2302</v>
      </c>
      <c r="B1" s="374"/>
      <c r="C1" s="374"/>
      <c r="D1" s="374"/>
      <c r="E1" s="374"/>
      <c r="F1" s="374"/>
    </row>
    <row r="2" spans="1:6" ht="15.75">
      <c r="A2" s="374" t="s">
        <v>1052</v>
      </c>
      <c r="B2" s="374"/>
      <c r="C2" s="374"/>
      <c r="D2" s="374"/>
      <c r="E2" s="374"/>
      <c r="F2" s="374"/>
    </row>
    <row r="3" spans="1:6" ht="15.75">
      <c r="A3" s="374" t="s">
        <v>705</v>
      </c>
      <c r="B3" s="374"/>
      <c r="C3" s="374"/>
      <c r="D3" s="374"/>
      <c r="E3" s="374"/>
      <c r="F3" s="374"/>
    </row>
    <row r="4" spans="1:6" ht="15.75">
      <c r="A4" s="374" t="s">
        <v>1934</v>
      </c>
      <c r="B4" s="374"/>
      <c r="C4" s="374"/>
      <c r="D4" s="374"/>
      <c r="E4" s="374"/>
      <c r="F4" s="374"/>
    </row>
    <row r="5" spans="1:6" ht="15.75">
      <c r="A5" s="170"/>
      <c r="B5" s="1"/>
      <c r="C5" s="1"/>
      <c r="D5" s="171"/>
      <c r="E5" s="426"/>
      <c r="F5" s="426"/>
    </row>
    <row r="6" spans="1:6" ht="15.75" customHeight="1">
      <c r="A6" s="400" t="s">
        <v>2311</v>
      </c>
      <c r="B6" s="400"/>
      <c r="C6" s="400"/>
      <c r="D6" s="400"/>
      <c r="E6" s="400"/>
      <c r="F6" s="400"/>
    </row>
    <row r="7" spans="1:6" ht="16.5" thickBot="1">
      <c r="A7" s="170"/>
      <c r="B7" s="1"/>
      <c r="C7" s="1"/>
      <c r="D7" s="171"/>
      <c r="E7" s="427"/>
      <c r="F7" s="427"/>
    </row>
    <row r="8" spans="1:6">
      <c r="A8" s="428" t="s">
        <v>1935</v>
      </c>
      <c r="B8" s="430" t="s">
        <v>1936</v>
      </c>
      <c r="C8" s="424" t="s">
        <v>2247</v>
      </c>
      <c r="D8" s="424" t="s">
        <v>1091</v>
      </c>
      <c r="E8" s="424" t="s">
        <v>2288</v>
      </c>
      <c r="F8" s="424" t="s">
        <v>2276</v>
      </c>
    </row>
    <row r="9" spans="1:6" ht="17.25" customHeight="1" thickBot="1">
      <c r="A9" s="429"/>
      <c r="B9" s="431"/>
      <c r="C9" s="425"/>
      <c r="D9" s="425"/>
      <c r="E9" s="425"/>
      <c r="F9" s="425"/>
    </row>
    <row r="10" spans="1:6" ht="47.25">
      <c r="A10" s="93">
        <v>1</v>
      </c>
      <c r="B10" s="93" t="s">
        <v>2032</v>
      </c>
      <c r="C10" s="172">
        <v>1435262</v>
      </c>
      <c r="D10" s="186"/>
      <c r="E10" s="173">
        <f>SUM(C10:D10)-12000</f>
        <v>1423262</v>
      </c>
      <c r="F10" s="173">
        <v>1200300</v>
      </c>
    </row>
    <row r="11" spans="1:6" ht="47.25">
      <c r="A11" s="93">
        <v>2</v>
      </c>
      <c r="B11" s="93" t="s">
        <v>2049</v>
      </c>
      <c r="C11" s="172">
        <v>8690561</v>
      </c>
      <c r="D11" s="186">
        <v>-100000</v>
      </c>
      <c r="E11" s="173">
        <f>SUM(C11:D11)-243572</f>
        <v>8346989</v>
      </c>
      <c r="F11" s="173">
        <v>9582988</v>
      </c>
    </row>
    <row r="12" spans="1:6" ht="47.25">
      <c r="A12" s="93">
        <v>3</v>
      </c>
      <c r="B12" s="152" t="s">
        <v>2035</v>
      </c>
      <c r="C12" s="174">
        <v>88300</v>
      </c>
      <c r="D12" s="175"/>
      <c r="E12" s="173">
        <f t="shared" ref="E12:E25" si="0">SUM(C12:D12)</f>
        <v>88300</v>
      </c>
      <c r="F12" s="173">
        <v>138300</v>
      </c>
    </row>
    <row r="13" spans="1:6" ht="47.25">
      <c r="A13" s="176">
        <v>4</v>
      </c>
      <c r="B13" s="8" t="s">
        <v>2123</v>
      </c>
      <c r="C13" s="177">
        <v>1800000</v>
      </c>
      <c r="D13" s="175"/>
      <c r="E13" s="173">
        <v>1769134</v>
      </c>
      <c r="F13" s="173">
        <v>1551364</v>
      </c>
    </row>
    <row r="14" spans="1:6" ht="31.5">
      <c r="A14" s="8">
        <v>5</v>
      </c>
      <c r="B14" s="8" t="s">
        <v>2028</v>
      </c>
      <c r="C14" s="174">
        <v>63031450</v>
      </c>
      <c r="D14" s="179"/>
      <c r="E14" s="173">
        <v>62031462</v>
      </c>
      <c r="F14" s="173">
        <v>52236237</v>
      </c>
    </row>
    <row r="15" spans="1:6" ht="47.25">
      <c r="A15" s="8">
        <v>6</v>
      </c>
      <c r="B15" s="8" t="s">
        <v>2046</v>
      </c>
      <c r="C15" s="174">
        <v>480000</v>
      </c>
      <c r="D15" s="179"/>
      <c r="E15" s="173">
        <f t="shared" si="0"/>
        <v>480000</v>
      </c>
      <c r="F15" s="173">
        <v>480000</v>
      </c>
    </row>
    <row r="16" spans="1:6" ht="47.25">
      <c r="A16" s="8">
        <v>7</v>
      </c>
      <c r="B16" s="8" t="s">
        <v>2029</v>
      </c>
      <c r="C16" s="174">
        <v>350000</v>
      </c>
      <c r="D16" s="175"/>
      <c r="E16" s="173">
        <f t="shared" si="0"/>
        <v>350000</v>
      </c>
      <c r="F16" s="173">
        <v>410000</v>
      </c>
    </row>
    <row r="17" spans="1:6" ht="15.75">
      <c r="A17" s="8">
        <v>8</v>
      </c>
      <c r="B17" s="152" t="s">
        <v>2030</v>
      </c>
      <c r="C17" s="174">
        <v>3059150</v>
      </c>
      <c r="D17" s="175"/>
      <c r="E17" s="173">
        <f t="shared" si="0"/>
        <v>3059150</v>
      </c>
      <c r="F17" s="173">
        <v>1380800</v>
      </c>
    </row>
    <row r="18" spans="1:6" ht="31.5">
      <c r="A18" s="8">
        <v>9</v>
      </c>
      <c r="B18" s="8" t="s">
        <v>2033</v>
      </c>
      <c r="C18" s="174">
        <v>700000</v>
      </c>
      <c r="D18" s="175"/>
      <c r="E18" s="173">
        <f t="shared" si="0"/>
        <v>700000</v>
      </c>
      <c r="F18" s="173">
        <v>700000</v>
      </c>
    </row>
    <row r="19" spans="1:6" ht="47.25">
      <c r="A19" s="8">
        <v>10</v>
      </c>
      <c r="B19" s="8" t="s">
        <v>2036</v>
      </c>
      <c r="C19" s="174">
        <v>400000</v>
      </c>
      <c r="D19" s="175"/>
      <c r="E19" s="173">
        <f t="shared" si="0"/>
        <v>400000</v>
      </c>
      <c r="F19" s="173">
        <v>166209</v>
      </c>
    </row>
    <row r="20" spans="1:6" ht="47.25">
      <c r="A20" s="8">
        <v>11</v>
      </c>
      <c r="B20" s="152" t="s">
        <v>2037</v>
      </c>
      <c r="C20" s="174">
        <v>2550000</v>
      </c>
      <c r="D20" s="175"/>
      <c r="E20" s="173">
        <f t="shared" si="0"/>
        <v>2550000</v>
      </c>
      <c r="F20" s="183">
        <v>2550000</v>
      </c>
    </row>
    <row r="21" spans="1:6" ht="110.25">
      <c r="A21" s="8">
        <v>12</v>
      </c>
      <c r="B21" s="153" t="s">
        <v>2133</v>
      </c>
      <c r="C21" s="174">
        <v>1289560</v>
      </c>
      <c r="D21" s="175"/>
      <c r="E21" s="173">
        <f t="shared" si="0"/>
        <v>1289560</v>
      </c>
      <c r="F21" s="183">
        <v>1289560</v>
      </c>
    </row>
    <row r="22" spans="1:6" ht="31.5">
      <c r="A22" s="8">
        <v>13</v>
      </c>
      <c r="B22" s="8" t="s">
        <v>2061</v>
      </c>
      <c r="C22" s="174">
        <v>148889</v>
      </c>
      <c r="D22" s="175"/>
      <c r="E22" s="173">
        <f t="shared" si="0"/>
        <v>148889</v>
      </c>
      <c r="F22" s="173">
        <v>148889</v>
      </c>
    </row>
    <row r="23" spans="1:6" ht="47.25">
      <c r="A23" s="8">
        <v>14</v>
      </c>
      <c r="B23" s="152" t="s">
        <v>2060</v>
      </c>
      <c r="C23" s="174">
        <v>10931179</v>
      </c>
      <c r="D23" s="175"/>
      <c r="E23" s="173">
        <v>19717295</v>
      </c>
      <c r="F23" s="173">
        <v>11208082</v>
      </c>
    </row>
    <row r="24" spans="1:6" ht="47.25">
      <c r="A24" s="8">
        <v>15</v>
      </c>
      <c r="B24" s="152" t="s">
        <v>2171</v>
      </c>
      <c r="C24" s="174">
        <v>240000</v>
      </c>
      <c r="D24" s="175"/>
      <c r="E24" s="183">
        <f>C24+D24</f>
        <v>240000</v>
      </c>
      <c r="F24" s="183">
        <v>240000</v>
      </c>
    </row>
    <row r="25" spans="1:6" ht="47.25">
      <c r="A25" s="8">
        <v>16</v>
      </c>
      <c r="B25" s="152" t="s">
        <v>2168</v>
      </c>
      <c r="C25" s="181">
        <v>32879011</v>
      </c>
      <c r="D25" s="182"/>
      <c r="E25" s="183">
        <f t="shared" si="0"/>
        <v>32879011</v>
      </c>
      <c r="F25" s="183">
        <v>32974600</v>
      </c>
    </row>
    <row r="26" spans="1:6" ht="63">
      <c r="A26" s="8">
        <v>17</v>
      </c>
      <c r="B26" s="152" t="s">
        <v>2272</v>
      </c>
      <c r="C26" s="181">
        <v>11057964</v>
      </c>
      <c r="D26" s="179"/>
      <c r="E26" s="183">
        <f>SUM(C26:D26)</f>
        <v>11057964</v>
      </c>
      <c r="F26" s="183">
        <v>11057964</v>
      </c>
    </row>
    <row r="27" spans="1:6" ht="47.25">
      <c r="A27" s="8">
        <v>18</v>
      </c>
      <c r="B27" s="152" t="s">
        <v>2246</v>
      </c>
      <c r="C27" s="181">
        <v>164000</v>
      </c>
      <c r="D27" s="179">
        <v>280000</v>
      </c>
      <c r="E27" s="183">
        <f>SUM(C27:D27)</f>
        <v>444000</v>
      </c>
      <c r="F27" s="183">
        <v>444000</v>
      </c>
    </row>
    <row r="28" spans="1:6" ht="31.5">
      <c r="A28" s="8">
        <v>19</v>
      </c>
      <c r="B28" s="270" t="s">
        <v>2273</v>
      </c>
      <c r="C28" s="181"/>
      <c r="D28" s="179"/>
      <c r="E28" s="271">
        <v>5872617</v>
      </c>
      <c r="F28" s="271">
        <v>1029145</v>
      </c>
    </row>
    <row r="29" spans="1:6" ht="47.25">
      <c r="A29" s="8">
        <v>20</v>
      </c>
      <c r="B29" s="270" t="s">
        <v>2274</v>
      </c>
      <c r="C29" s="181"/>
      <c r="D29" s="179"/>
      <c r="E29" s="271">
        <v>6569583</v>
      </c>
      <c r="F29" s="271">
        <v>6568725</v>
      </c>
    </row>
    <row r="30" spans="1:6" ht="63">
      <c r="A30" s="8">
        <v>21</v>
      </c>
      <c r="B30" s="270" t="s">
        <v>2275</v>
      </c>
      <c r="C30" s="181"/>
      <c r="D30" s="179"/>
      <c r="E30" s="271">
        <v>986447</v>
      </c>
      <c r="F30" s="271">
        <v>488461</v>
      </c>
    </row>
    <row r="31" spans="1:6" ht="15.75">
      <c r="A31" s="8"/>
      <c r="B31" s="256" t="s">
        <v>1099</v>
      </c>
      <c r="C31" s="257">
        <v>139295326</v>
      </c>
      <c r="D31" s="258">
        <f>SUM(D10:D27)</f>
        <v>180000</v>
      </c>
      <c r="E31" s="258">
        <f>SUM(E10:E30)</f>
        <v>160403663</v>
      </c>
      <c r="F31" s="258">
        <f>SUM(F10:F30)</f>
        <v>135845624</v>
      </c>
    </row>
  </sheetData>
  <mergeCells count="13">
    <mergeCell ref="F8:F9"/>
    <mergeCell ref="A1:F1"/>
    <mergeCell ref="A2:F2"/>
    <mergeCell ref="A3:F3"/>
    <mergeCell ref="A4:F4"/>
    <mergeCell ref="A6:F6"/>
    <mergeCell ref="E5:F5"/>
    <mergeCell ref="E7:F7"/>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12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codeName="Лист15"/>
  <dimension ref="A1:D16"/>
  <sheetViews>
    <sheetView showGridLines="0" view="pageBreakPreview" topLeftCell="A10" zoomScale="115" zoomScaleNormal="100" zoomScaleSheetLayoutView="115" workbookViewId="0">
      <selection activeCell="F23" sqref="F23"/>
    </sheetView>
  </sheetViews>
  <sheetFormatPr defaultColWidth="9.140625" defaultRowHeight="12.75" outlineLevelCol="1"/>
  <cols>
    <col min="1" max="1" width="17" style="115" customWidth="1"/>
    <col min="2" max="2" width="41.5703125" style="115" customWidth="1"/>
    <col min="3" max="3" width="15.42578125" style="115" hidden="1" customWidth="1" outlineLevel="1"/>
    <col min="4" max="4" width="15" style="115" customWidth="1" collapsed="1"/>
    <col min="5" max="16384" width="9.140625" style="115"/>
  </cols>
  <sheetData>
    <row r="1" spans="1:4" ht="15.75">
      <c r="A1" s="374" t="s">
        <v>2303</v>
      </c>
      <c r="B1" s="374"/>
      <c r="C1" s="374"/>
      <c r="D1" s="374"/>
    </row>
    <row r="2" spans="1:4" ht="15.75">
      <c r="A2" s="374" t="s">
        <v>1052</v>
      </c>
      <c r="B2" s="374"/>
      <c r="C2" s="374"/>
      <c r="D2" s="374"/>
    </row>
    <row r="3" spans="1:4" ht="15.75">
      <c r="A3" s="374" t="s">
        <v>705</v>
      </c>
      <c r="B3" s="374"/>
      <c r="C3" s="374"/>
      <c r="D3" s="374"/>
    </row>
    <row r="4" spans="1:4" ht="15.75">
      <c r="A4" s="374" t="s">
        <v>1934</v>
      </c>
      <c r="B4" s="374"/>
      <c r="C4" s="374"/>
      <c r="D4" s="374"/>
    </row>
    <row r="5" spans="1:4" ht="15.75">
      <c r="A5" s="170"/>
      <c r="B5" s="372"/>
      <c r="C5" s="372"/>
      <c r="D5" s="372"/>
    </row>
    <row r="6" spans="1:4" ht="15.75" customHeight="1">
      <c r="A6" s="400" t="s">
        <v>2312</v>
      </c>
      <c r="B6" s="400"/>
      <c r="C6" s="400"/>
      <c r="D6" s="400"/>
    </row>
    <row r="7" spans="1:4" ht="16.5" thickBot="1">
      <c r="A7" s="143"/>
      <c r="B7" s="143"/>
      <c r="C7" s="434"/>
      <c r="D7" s="434"/>
    </row>
    <row r="8" spans="1:4" ht="63.75" thickBot="1">
      <c r="A8" s="260" t="s">
        <v>1937</v>
      </c>
      <c r="B8" s="260" t="s">
        <v>952</v>
      </c>
      <c r="C8" s="284" t="s">
        <v>2288</v>
      </c>
      <c r="D8" s="273" t="s">
        <v>2276</v>
      </c>
    </row>
    <row r="9" spans="1:4" ht="32.25" thickBot="1">
      <c r="A9" s="260">
        <v>953</v>
      </c>
      <c r="B9" s="119" t="s">
        <v>1018</v>
      </c>
      <c r="C9" s="120">
        <f>C10</f>
        <v>760621353</v>
      </c>
      <c r="D9" s="120">
        <f>D10</f>
        <v>712114000</v>
      </c>
    </row>
    <row r="10" spans="1:4" ht="79.5" thickBot="1">
      <c r="A10" s="121"/>
      <c r="B10" s="139" t="s">
        <v>2053</v>
      </c>
      <c r="C10" s="122">
        <f>733779290+33740581+76000+72300+873+1000000+422775+2281278-2722728-86000-8143016+200000</f>
        <v>760621353</v>
      </c>
      <c r="D10" s="122">
        <v>712114000</v>
      </c>
    </row>
    <row r="11" spans="1:4" ht="32.25" thickBot="1">
      <c r="A11" s="259">
        <v>954</v>
      </c>
      <c r="B11" s="123" t="s">
        <v>1156</v>
      </c>
      <c r="C11" s="124">
        <f>C12</f>
        <v>253699226</v>
      </c>
      <c r="D11" s="124">
        <f>D12</f>
        <v>250312593</v>
      </c>
    </row>
    <row r="12" spans="1:4" ht="63.75" thickBot="1">
      <c r="A12" s="125"/>
      <c r="B12" s="126" t="s">
        <v>2054</v>
      </c>
      <c r="C12" s="127">
        <f>5441200+250641233+10047+150000+35478+1280000+1280000-400000-80000-4581913+109219-2288000+3179142-1060180-17000</f>
        <v>253699226</v>
      </c>
      <c r="D12" s="127">
        <v>250312593</v>
      </c>
    </row>
    <row r="13" spans="1:4" ht="48" thickBot="1">
      <c r="A13" s="128">
        <v>956</v>
      </c>
      <c r="B13" s="129" t="s">
        <v>1194</v>
      </c>
      <c r="C13" s="116">
        <f>C14+C15</f>
        <v>125312846</v>
      </c>
      <c r="D13" s="116">
        <f>D14+D15</f>
        <v>125887900</v>
      </c>
    </row>
    <row r="14" spans="1:4" ht="63.75" thickBot="1">
      <c r="A14" s="125"/>
      <c r="B14" s="126" t="s">
        <v>2055</v>
      </c>
      <c r="C14" s="127">
        <f>24489000-83300-700000-22300+77510900+4539800+5055000-893639-2527+700000+350000+409413+146644-376322+234000</f>
        <v>111356669</v>
      </c>
      <c r="D14" s="127">
        <v>110606700</v>
      </c>
    </row>
    <row r="15" spans="1:4" ht="32.25" thickBot="1">
      <c r="A15" s="128"/>
      <c r="B15" s="126" t="s">
        <v>2052</v>
      </c>
      <c r="C15" s="127">
        <f>13960603-4426</f>
        <v>13956177</v>
      </c>
      <c r="D15" s="127">
        <v>15281200</v>
      </c>
    </row>
    <row r="16" spans="1:4" ht="16.5" thickBot="1">
      <c r="A16" s="432" t="s">
        <v>1099</v>
      </c>
      <c r="B16" s="433"/>
      <c r="C16" s="116">
        <f>C13+C11+C9</f>
        <v>1139633425</v>
      </c>
      <c r="D16" s="116">
        <f>D13+D11+D9</f>
        <v>1088314493</v>
      </c>
    </row>
  </sheetData>
  <mergeCells count="8">
    <mergeCell ref="A16:B16"/>
    <mergeCell ref="A1:D1"/>
    <mergeCell ref="A2:D2"/>
    <mergeCell ref="A3:D3"/>
    <mergeCell ref="A4:D4"/>
    <mergeCell ref="A6:D6"/>
    <mergeCell ref="B5:D5"/>
    <mergeCell ref="C7:D7"/>
  </mergeCells>
  <pageMargins left="0.7" right="0.7" top="0.75" bottom="0.75" header="0.3" footer="0.3"/>
  <pageSetup paperSize="9"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C19"/>
  <sheetViews>
    <sheetView workbookViewId="0">
      <selection activeCell="H8" sqref="H8"/>
    </sheetView>
  </sheetViews>
  <sheetFormatPr defaultColWidth="9.140625" defaultRowHeight="12.75"/>
  <cols>
    <col min="1" max="1" width="28.140625" style="322" customWidth="1"/>
    <col min="2" max="2" width="22.85546875" style="322" customWidth="1"/>
    <col min="3" max="3" width="35.42578125" style="322" customWidth="1"/>
    <col min="4" max="16384" width="9.140625" style="322"/>
  </cols>
  <sheetData>
    <row r="1" spans="1:3" ht="110.25" customHeight="1">
      <c r="A1" s="439" t="s">
        <v>2337</v>
      </c>
      <c r="B1" s="439"/>
      <c r="C1" s="439"/>
    </row>
    <row r="2" spans="1:3" ht="47.25">
      <c r="A2" s="323"/>
      <c r="B2" s="324" t="s">
        <v>2322</v>
      </c>
      <c r="C2" s="324" t="s">
        <v>2338</v>
      </c>
    </row>
    <row r="3" spans="1:3" ht="47.25">
      <c r="A3" s="323" t="s">
        <v>2323</v>
      </c>
      <c r="B3" s="323">
        <v>160</v>
      </c>
      <c r="C3" s="323">
        <v>49801000</v>
      </c>
    </row>
    <row r="4" spans="1:3" ht="47.25">
      <c r="A4" s="323" t="s">
        <v>2324</v>
      </c>
      <c r="B4" s="323">
        <v>2854</v>
      </c>
      <c r="C4" s="323">
        <v>465776413</v>
      </c>
    </row>
    <row r="5" spans="1:3" ht="0.75" customHeight="1">
      <c r="A5" s="1"/>
      <c r="B5" s="1"/>
      <c r="C5" s="1"/>
    </row>
    <row r="6" spans="1:3" ht="63.75" customHeight="1">
      <c r="A6" s="440" t="s">
        <v>2340</v>
      </c>
      <c r="B6" s="440"/>
      <c r="C6" s="440"/>
    </row>
    <row r="7" spans="1:3" ht="15.75">
      <c r="A7" s="441"/>
      <c r="B7" s="442"/>
      <c r="C7" s="324" t="s">
        <v>2339</v>
      </c>
    </row>
    <row r="8" spans="1:3" ht="15.75">
      <c r="A8" s="441" t="s">
        <v>2325</v>
      </c>
      <c r="B8" s="442"/>
      <c r="C8" s="323">
        <v>3185093</v>
      </c>
    </row>
    <row r="9" spans="1:3" ht="15.75">
      <c r="A9" s="435" t="s">
        <v>2326</v>
      </c>
      <c r="B9" s="436"/>
      <c r="C9" s="323"/>
    </row>
    <row r="10" spans="1:3" ht="31.5" customHeight="1">
      <c r="A10" s="435" t="s">
        <v>2327</v>
      </c>
      <c r="B10" s="436"/>
      <c r="C10" s="323">
        <v>350000</v>
      </c>
    </row>
    <row r="11" spans="1:3" ht="48" customHeight="1">
      <c r="A11" s="435" t="s">
        <v>2328</v>
      </c>
      <c r="B11" s="436"/>
      <c r="C11" s="323">
        <v>323222</v>
      </c>
    </row>
    <row r="12" spans="1:3" ht="30" customHeight="1">
      <c r="A12" s="435" t="s">
        <v>2329</v>
      </c>
      <c r="B12" s="436"/>
      <c r="C12" s="323">
        <v>45107</v>
      </c>
    </row>
    <row r="13" spans="1:3" ht="32.25" customHeight="1">
      <c r="A13" s="435" t="s">
        <v>2330</v>
      </c>
      <c r="B13" s="436"/>
      <c r="C13" s="323">
        <v>84554</v>
      </c>
    </row>
    <row r="14" spans="1:3" ht="33.75" customHeight="1">
      <c r="A14" s="435" t="s">
        <v>2331</v>
      </c>
      <c r="B14" s="436"/>
      <c r="C14" s="323">
        <v>60096</v>
      </c>
    </row>
    <row r="15" spans="1:3" ht="64.5" customHeight="1">
      <c r="A15" s="435" t="s">
        <v>2336</v>
      </c>
      <c r="B15" s="436"/>
      <c r="C15" s="323">
        <v>139855</v>
      </c>
    </row>
    <row r="16" spans="1:3" ht="49.5" customHeight="1">
      <c r="A16" s="435" t="s">
        <v>2332</v>
      </c>
      <c r="B16" s="436"/>
      <c r="C16" s="323">
        <v>1727815</v>
      </c>
    </row>
    <row r="17" spans="1:3" ht="48" customHeight="1">
      <c r="A17" s="435" t="s">
        <v>2333</v>
      </c>
      <c r="B17" s="436"/>
      <c r="C17" s="323">
        <v>99897</v>
      </c>
    </row>
    <row r="18" spans="1:3" ht="38.25" customHeight="1">
      <c r="A18" s="437" t="s">
        <v>2334</v>
      </c>
      <c r="B18" s="438"/>
      <c r="C18" s="323">
        <v>52945</v>
      </c>
    </row>
    <row r="19" spans="1:3" ht="18" customHeight="1">
      <c r="A19" s="437" t="s">
        <v>2335</v>
      </c>
      <c r="B19" s="438"/>
      <c r="C19" s="323">
        <v>301602</v>
      </c>
    </row>
  </sheetData>
  <mergeCells count="15">
    <mergeCell ref="A10:B10"/>
    <mergeCell ref="A1:C1"/>
    <mergeCell ref="A6:C6"/>
    <mergeCell ref="A7:B7"/>
    <mergeCell ref="A8:B8"/>
    <mergeCell ref="A9:B9"/>
    <mergeCell ref="A17:B17"/>
    <mergeCell ref="A18:B18"/>
    <mergeCell ref="A19:B19"/>
    <mergeCell ref="A11:B11"/>
    <mergeCell ref="A12:B12"/>
    <mergeCell ref="A13:B13"/>
    <mergeCell ref="A14:B14"/>
    <mergeCell ref="A15:B15"/>
    <mergeCell ref="A16:B16"/>
  </mergeCells>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D121"/>
  <sheetViews>
    <sheetView showGridLines="0" view="pageBreakPreview" topLeftCell="A19" zoomScaleSheetLayoutView="100" workbookViewId="0">
      <selection activeCell="D84" sqref="D84"/>
    </sheetView>
  </sheetViews>
  <sheetFormatPr defaultColWidth="11.85546875" defaultRowHeight="15.75" outlineLevelCol="1"/>
  <cols>
    <col min="1" max="1" width="10.7109375" style="14" customWidth="1"/>
    <col min="2" max="2" width="62.140625" style="10" customWidth="1"/>
    <col min="3" max="3" width="17" style="4" hidden="1" customWidth="1" outlineLevel="1"/>
    <col min="4" max="4" width="15.42578125" style="4" customWidth="1" collapsed="1"/>
    <col min="5" max="16384" width="11.85546875" style="4"/>
  </cols>
  <sheetData>
    <row r="1" spans="1:4" s="10" customFormat="1" ht="16.5" customHeight="1">
      <c r="A1" s="333" t="s">
        <v>5</v>
      </c>
      <c r="B1" s="333"/>
      <c r="C1" s="333"/>
      <c r="D1" s="333"/>
    </row>
    <row r="2" spans="1:4" s="10" customFormat="1" ht="16.5" customHeight="1">
      <c r="A2" s="333" t="s">
        <v>1052</v>
      </c>
      <c r="B2" s="333"/>
      <c r="C2" s="333"/>
      <c r="D2" s="333"/>
    </row>
    <row r="3" spans="1:4" s="10" customFormat="1" ht="15" customHeight="1">
      <c r="A3" s="333" t="s">
        <v>705</v>
      </c>
      <c r="B3" s="333"/>
      <c r="C3" s="333"/>
      <c r="D3" s="333"/>
    </row>
    <row r="4" spans="1:4" s="10" customFormat="1" ht="15" customHeight="1">
      <c r="A4" s="333" t="s">
        <v>1213</v>
      </c>
      <c r="B4" s="333"/>
      <c r="C4" s="333"/>
      <c r="D4" s="333"/>
    </row>
    <row r="5" spans="1:4" s="10" customFormat="1">
      <c r="A5" s="11"/>
      <c r="B5" s="9"/>
      <c r="C5" s="9"/>
    </row>
    <row r="6" spans="1:4" s="10" customFormat="1" ht="58.5" customHeight="1">
      <c r="A6" s="338" t="s">
        <v>2278</v>
      </c>
      <c r="B6" s="338"/>
      <c r="C6" s="338"/>
      <c r="D6" s="338"/>
    </row>
    <row r="7" spans="1:4" s="10" customFormat="1" ht="16.5" thickBot="1">
      <c r="A7" s="12"/>
    </row>
    <row r="8" spans="1:4" s="13" customFormat="1" ht="36" customHeight="1" thickBot="1">
      <c r="A8" s="31" t="s">
        <v>951</v>
      </c>
      <c r="B8" s="32" t="s">
        <v>952</v>
      </c>
      <c r="C8" s="32" t="s">
        <v>2288</v>
      </c>
      <c r="D8" s="67" t="s">
        <v>2276</v>
      </c>
    </row>
    <row r="9" spans="1:4" s="5" customFormat="1" ht="16.5" thickBot="1">
      <c r="A9" s="89">
        <v>100</v>
      </c>
      <c r="B9" s="90" t="s">
        <v>430</v>
      </c>
      <c r="C9" s="66">
        <f ca="1">SUM(C10:C21)</f>
        <v>73932195</v>
      </c>
      <c r="D9" s="66">
        <f t="shared" ref="D9" ca="1" si="0">SUM(D10:D21)</f>
        <v>72894174</v>
      </c>
    </row>
    <row r="10" spans="1:4" s="5" customFormat="1" hidden="1">
      <c r="A10" s="87">
        <v>101</v>
      </c>
      <c r="B10" s="88" t="s">
        <v>768</v>
      </c>
      <c r="C10" s="98">
        <f ca="1">SUMIF(Пр5!C9:C845,101,Пр5!F9:F844)</f>
        <v>0</v>
      </c>
      <c r="D10" s="98">
        <f ca="1">SUMIF(Пр5!C9:C845,101,Пр5!G9:G844)</f>
        <v>0</v>
      </c>
    </row>
    <row r="11" spans="1:4" s="5" customFormat="1" ht="31.5">
      <c r="A11" s="85">
        <v>102</v>
      </c>
      <c r="B11" s="8" t="s">
        <v>738</v>
      </c>
      <c r="C11" s="99">
        <f ca="1">SUMIF(Пр5!C9:C845,102,Пр5!F9:F844)</f>
        <v>1342842</v>
      </c>
      <c r="D11" s="99">
        <f ca="1">SUMIF(Пр5!C9:C845,102,Пр5!G9:G844)</f>
        <v>1342840</v>
      </c>
    </row>
    <row r="12" spans="1:4" s="5" customFormat="1" ht="47.25" hidden="1">
      <c r="A12" s="85">
        <v>103</v>
      </c>
      <c r="B12" s="8" t="s">
        <v>649</v>
      </c>
      <c r="C12" s="99">
        <f ca="1">SUMIF(Пр5!C10:C846,103,Пр5!F10:F845)</f>
        <v>0</v>
      </c>
      <c r="D12" s="99">
        <f ca="1">SUMIF(Пр5!C10:C846,103,Пр5!G10:G845)</f>
        <v>0</v>
      </c>
    </row>
    <row r="13" spans="1:4" ht="47.25">
      <c r="A13" s="85">
        <v>104</v>
      </c>
      <c r="B13" s="8" t="s">
        <v>334</v>
      </c>
      <c r="C13" s="99">
        <f ca="1">SUMIF(Пр5!C9:C845,104,Пр5!F9:F844)</f>
        <v>28575415</v>
      </c>
      <c r="D13" s="99">
        <f ca="1">SUMIF(Пр5!C9:C845,104,Пр5!G9:G844)</f>
        <v>28441625</v>
      </c>
    </row>
    <row r="14" spans="1:4" ht="47.25">
      <c r="A14" s="85">
        <v>106</v>
      </c>
      <c r="B14" s="8" t="s">
        <v>40</v>
      </c>
      <c r="C14" s="99">
        <f ca="1">SUMIF(Пр5!C9:C845,106,Пр5!F9:F844)</f>
        <v>15173172</v>
      </c>
      <c r="D14" s="99">
        <f ca="1">SUMIF(Пр5!C9:C845,106,Пр5!G9:G844)</f>
        <v>15028153</v>
      </c>
    </row>
    <row r="15" spans="1:4">
      <c r="A15" s="85">
        <v>107</v>
      </c>
      <c r="B15" s="8" t="s">
        <v>50</v>
      </c>
      <c r="C15" s="99">
        <f ca="1">SUMIF(Пр5!C9:C845,107,Пр5!F9:F844)</f>
        <v>586688</v>
      </c>
      <c r="D15" s="99">
        <f ca="1">SUMIF(Пр5!C9:C845,107,Пр5!G9:G844)</f>
        <v>586688</v>
      </c>
    </row>
    <row r="16" spans="1:4" s="5" customFormat="1" ht="31.5" hidden="1">
      <c r="A16" s="85">
        <v>108</v>
      </c>
      <c r="B16" s="8" t="s">
        <v>1463</v>
      </c>
      <c r="C16" s="99">
        <f ca="1">SUMIF(Пр5!C9:C845,108,Пр5!F9:F844)</f>
        <v>0</v>
      </c>
      <c r="D16" s="99">
        <f ca="1">SUMIF(Пр5!C9:C845,108,Пр5!G9:G844)</f>
        <v>0</v>
      </c>
    </row>
    <row r="17" spans="1:4" hidden="1">
      <c r="A17" s="85">
        <v>109</v>
      </c>
      <c r="B17" s="8" t="s">
        <v>829</v>
      </c>
      <c r="C17" s="99">
        <f ca="1">SUMIF(Пр5!C9:C845,109,Пр5!F9:F844)</f>
        <v>0</v>
      </c>
      <c r="D17" s="99">
        <f ca="1">SUMIF(Пр5!C9:C845,109,Пр5!G9:G844)</f>
        <v>0</v>
      </c>
    </row>
    <row r="18" spans="1:4" hidden="1">
      <c r="A18" s="85">
        <v>110</v>
      </c>
      <c r="B18" s="8" t="s">
        <v>830</v>
      </c>
      <c r="C18" s="99">
        <f ca="1">SUMIF(Пр5!C9:C845,110,Пр5!F9:F844)</f>
        <v>0</v>
      </c>
      <c r="D18" s="99">
        <f ca="1">SUMIF(Пр5!C9:C845,110,Пр5!G9:G844)</f>
        <v>0</v>
      </c>
    </row>
    <row r="19" spans="1:4" s="5" customFormat="1">
      <c r="A19" s="85">
        <v>111</v>
      </c>
      <c r="B19" s="8" t="s">
        <v>825</v>
      </c>
      <c r="C19" s="99">
        <f ca="1">SUMIF(Пр5!C9:C845,111,Пр5!F9:F844)</f>
        <v>3510000</v>
      </c>
      <c r="D19" s="99">
        <f ca="1">SUMIF(Пр5!C9:C845,111,Пр5!G9:G844)</f>
        <v>3185093</v>
      </c>
    </row>
    <row r="20" spans="1:4" ht="31.5" hidden="1">
      <c r="A20" s="85">
        <v>112</v>
      </c>
      <c r="B20" s="8" t="s">
        <v>1453</v>
      </c>
      <c r="C20" s="99">
        <f ca="1">SUMIF(Пр5!C9:C845,112,Пр5!F9:F844)</f>
        <v>0</v>
      </c>
      <c r="D20" s="99">
        <f ca="1">SUMIF(Пр5!C9:C845,112,Пр5!G9:G844)</f>
        <v>0</v>
      </c>
    </row>
    <row r="21" spans="1:4" ht="16.5" thickBot="1">
      <c r="A21" s="91">
        <v>113</v>
      </c>
      <c r="B21" s="92" t="s">
        <v>826</v>
      </c>
      <c r="C21" s="100">
        <f ca="1">SUMIF(Пр5!C9:C845,113,Пр5!F9:F844)</f>
        <v>24744078</v>
      </c>
      <c r="D21" s="100">
        <f ca="1">SUMIF(Пр5!C9:C845,113,Пр5!G9:G844)</f>
        <v>24309775</v>
      </c>
    </row>
    <row r="22" spans="1:4" ht="16.5" thickBot="1">
      <c r="A22" s="89">
        <v>200</v>
      </c>
      <c r="B22" s="94" t="s">
        <v>41</v>
      </c>
      <c r="C22" s="66">
        <f ca="1">SUM(C23:C31)</f>
        <v>675000</v>
      </c>
      <c r="D22" s="66">
        <f ca="1">SUM(D23:D31)</f>
        <v>675000</v>
      </c>
    </row>
    <row r="23" spans="1:4" hidden="1">
      <c r="A23" s="87">
        <v>201</v>
      </c>
      <c r="B23" s="93" t="s">
        <v>1072</v>
      </c>
      <c r="C23" s="98">
        <f ca="1">SUMIF(Пр5!C9:C845,201,Пр5!F9:F844)</f>
        <v>0</v>
      </c>
      <c r="D23" s="98">
        <f ca="1">SUMIF(Пр5!C9:C845,201,Пр5!G9:G844)</f>
        <v>0</v>
      </c>
    </row>
    <row r="24" spans="1:4" s="5" customFormat="1" ht="31.5" hidden="1">
      <c r="A24" s="85">
        <v>202</v>
      </c>
      <c r="B24" s="8" t="s">
        <v>703</v>
      </c>
      <c r="C24" s="99">
        <f ca="1">SUMIF(Пр5!C9:C845,202,Пр5!F9:F844)</f>
        <v>0</v>
      </c>
      <c r="D24" s="99">
        <f ca="1">SUMIF(Пр5!C9:C845,202,Пр5!G9:G844)</f>
        <v>0</v>
      </c>
    </row>
    <row r="25" spans="1:4" s="5" customFormat="1" ht="16.5" thickBot="1">
      <c r="A25" s="85">
        <v>203</v>
      </c>
      <c r="B25" s="8" t="s">
        <v>127</v>
      </c>
      <c r="C25" s="99">
        <f ca="1">SUMIF(Пр5!C9:C845,203,Пр5!F9:F844)</f>
        <v>675000</v>
      </c>
      <c r="D25" s="99">
        <f ca="1">SUMIF(Пр5!C9:C845,203,Пр5!G9:G844)</f>
        <v>675000</v>
      </c>
    </row>
    <row r="26" spans="1:4" ht="16.5" hidden="1" thickBot="1">
      <c r="A26" s="85">
        <v>204</v>
      </c>
      <c r="B26" s="8" t="s">
        <v>228</v>
      </c>
      <c r="C26" s="99">
        <f ca="1">SUMIF(Пр5!C9:C845,204,Пр5!F9:F844)</f>
        <v>0</v>
      </c>
      <c r="D26" s="99">
        <f ca="1">SUMIF(Пр5!C9:C845,204,Пр5!G9:G844)</f>
        <v>0</v>
      </c>
    </row>
    <row r="27" spans="1:4" ht="32.25" hidden="1" thickBot="1">
      <c r="A27" s="85">
        <v>205</v>
      </c>
      <c r="B27" s="8" t="s">
        <v>787</v>
      </c>
      <c r="C27" s="99">
        <f ca="1">SUMIF(Пр5!C9:C845,205,Пр5!F9:F844)</f>
        <v>0</v>
      </c>
      <c r="D27" s="99">
        <f ca="1">SUMIF(Пр5!C9:C845,205,Пр5!G9:G844)</f>
        <v>0</v>
      </c>
    </row>
    <row r="28" spans="1:4" ht="16.5" hidden="1" thickBot="1">
      <c r="A28" s="85">
        <v>206</v>
      </c>
      <c r="B28" s="8" t="s">
        <v>1358</v>
      </c>
      <c r="C28" s="99">
        <f ca="1">SUMIF(Пр5!C9:C845,206,Пр5!F9:F844)</f>
        <v>0</v>
      </c>
      <c r="D28" s="99">
        <f ca="1">SUMIF(Пр5!C9:C845,206,Пр5!G9:G844)</f>
        <v>0</v>
      </c>
    </row>
    <row r="29" spans="1:4" s="5" customFormat="1" ht="32.25" hidden="1" thickBot="1">
      <c r="A29" s="85">
        <v>207</v>
      </c>
      <c r="B29" s="8" t="s">
        <v>910</v>
      </c>
      <c r="C29" s="99">
        <f ca="1">SUMIF(Пр5!C9:C845,207,Пр5!F9:F844)</f>
        <v>0</v>
      </c>
      <c r="D29" s="99">
        <f ca="1">SUMIF(Пр5!C9:C845,207,Пр5!G9:G844)</f>
        <v>0</v>
      </c>
    </row>
    <row r="30" spans="1:4" ht="32.25" hidden="1" thickBot="1">
      <c r="A30" s="85">
        <v>208</v>
      </c>
      <c r="B30" s="8" t="s">
        <v>326</v>
      </c>
      <c r="C30" s="99">
        <f ca="1">SUMIF(Пр5!C9:C845,208,Пр5!F9:F844)</f>
        <v>0</v>
      </c>
      <c r="D30" s="99">
        <f ca="1">SUMIF(Пр5!C9:C845,208,Пр5!G9:G844)</f>
        <v>0</v>
      </c>
    </row>
    <row r="31" spans="1:4" ht="16.5" hidden="1" thickBot="1">
      <c r="A31" s="91">
        <v>209</v>
      </c>
      <c r="B31" s="92" t="s">
        <v>327</v>
      </c>
      <c r="C31" s="100">
        <f ca="1">SUMIF(Пр5!C9:C845,209,Пр5!F9:F844)</f>
        <v>0</v>
      </c>
      <c r="D31" s="100">
        <f ca="1">SUMIF(Пр5!C9:C845,209,Пр5!G9:G844)</f>
        <v>0</v>
      </c>
    </row>
    <row r="32" spans="1:4" ht="32.25" thickBot="1">
      <c r="A32" s="89">
        <v>300</v>
      </c>
      <c r="B32" s="94" t="s">
        <v>1</v>
      </c>
      <c r="C32" s="96">
        <f ca="1">SUM(C33:C44)</f>
        <v>2810610</v>
      </c>
      <c r="D32" s="96">
        <f ca="1">SUM(D33:D44)</f>
        <v>2810428</v>
      </c>
    </row>
    <row r="33" spans="1:4" hidden="1">
      <c r="A33" s="85">
        <v>303</v>
      </c>
      <c r="B33" s="8" t="s">
        <v>329</v>
      </c>
      <c r="C33" s="99">
        <f ca="1">SUMIF(Пр5!C9:C845,303,Пр5!F9:F844)</f>
        <v>0</v>
      </c>
      <c r="D33" s="99">
        <f ca="1">SUMIF(Пр5!C9:C845,303,Пр5!G9:G844)</f>
        <v>0</v>
      </c>
    </row>
    <row r="34" spans="1:4" s="5" customFormat="1">
      <c r="A34" s="85">
        <v>304</v>
      </c>
      <c r="B34" s="8" t="s">
        <v>131</v>
      </c>
      <c r="C34" s="99">
        <f ca="1">SUMIF(Пр5!C9:C845,304,Пр5!F9:F844)</f>
        <v>2683360</v>
      </c>
      <c r="D34" s="99">
        <f ca="1">SUMIF(Пр5!C9:C845,304,Пр5!G9:G844)</f>
        <v>2683233</v>
      </c>
    </row>
    <row r="35" spans="1:4" hidden="1">
      <c r="A35" s="85">
        <v>305</v>
      </c>
      <c r="B35" s="8" t="s">
        <v>1477</v>
      </c>
      <c r="C35" s="99">
        <f ca="1">SUMIF(Пр5!C9:C845,305,Пр5!F9:F844)</f>
        <v>0</v>
      </c>
      <c r="D35" s="99">
        <f ca="1">SUMIF(Пр5!C9:C845,305,Пр5!G9:G844)</f>
        <v>0</v>
      </c>
    </row>
    <row r="36" spans="1:4" hidden="1">
      <c r="A36" s="85">
        <v>306</v>
      </c>
      <c r="B36" s="8" t="s">
        <v>1546</v>
      </c>
      <c r="C36" s="99">
        <f ca="1">SUMIF(Пр5!C9:C845,306,Пр5!F9:F844)</f>
        <v>0</v>
      </c>
      <c r="D36" s="99">
        <f ca="1">SUMIF(Пр5!C9:C845,306,Пр5!G9:G844)</f>
        <v>0</v>
      </c>
    </row>
    <row r="37" spans="1:4" hidden="1">
      <c r="A37" s="85">
        <v>307</v>
      </c>
      <c r="B37" s="8" t="s">
        <v>1547</v>
      </c>
      <c r="C37" s="99">
        <f ca="1">SUMIF(Пр5!C9:C845,307,Пр5!F9:F844)</f>
        <v>0</v>
      </c>
      <c r="D37" s="99">
        <f ca="1">SUMIF(Пр5!C9:C845,307,Пр5!G9:G844)</f>
        <v>0</v>
      </c>
    </row>
    <row r="38" spans="1:4" s="5" customFormat="1" ht="31.5" hidden="1">
      <c r="A38" s="85">
        <v>308</v>
      </c>
      <c r="B38" s="8" t="s">
        <v>1450</v>
      </c>
      <c r="C38" s="99">
        <f ca="1">SUMIF(Пр5!C9:C845,308,Пр5!F9:F844)</f>
        <v>0</v>
      </c>
      <c r="D38" s="99">
        <f ca="1">SUMIF(Пр5!C9:C845,308,Пр5!G9:G844)</f>
        <v>0</v>
      </c>
    </row>
    <row r="39" spans="1:4" ht="48" thickBot="1">
      <c r="A39" s="85">
        <v>309</v>
      </c>
      <c r="B39" s="8" t="s">
        <v>376</v>
      </c>
      <c r="C39" s="99">
        <f ca="1">SUMIF(Пр5!C9:C845,309,Пр5!F9:F844)</f>
        <v>127250</v>
      </c>
      <c r="D39" s="99">
        <f ca="1">SUMIF(Пр5!C9:C845,309,Пр5!G9:G844)</f>
        <v>127195</v>
      </c>
    </row>
    <row r="40" spans="1:4" ht="16.5" hidden="1" thickBot="1">
      <c r="A40" s="85">
        <v>310</v>
      </c>
      <c r="B40" s="8" t="s">
        <v>377</v>
      </c>
      <c r="C40" s="99">
        <f ca="1">SUMIF(Пр5!C9:C845,310,Пр5!F9:F844)</f>
        <v>0</v>
      </c>
      <c r="D40" s="99">
        <f ca="1">SUMIF(Пр5!C9:C845,310,Пр5!G9:G844)</f>
        <v>0</v>
      </c>
    </row>
    <row r="41" spans="1:4" ht="16.5" hidden="1" thickBot="1">
      <c r="A41" s="85">
        <v>311</v>
      </c>
      <c r="B41" s="8" t="s">
        <v>782</v>
      </c>
      <c r="C41" s="99">
        <f ca="1">SUMIF(Пр5!C9:C845,311,Пр5!F9:F844)</f>
        <v>0</v>
      </c>
      <c r="D41" s="99">
        <f ca="1">SUMIF(Пр5!C9:C845,311,Пр5!G9:G844)</f>
        <v>0</v>
      </c>
    </row>
    <row r="42" spans="1:4" ht="32.25" hidden="1" thickBot="1">
      <c r="A42" s="85">
        <v>312</v>
      </c>
      <c r="B42" s="8" t="s">
        <v>378</v>
      </c>
      <c r="C42" s="99">
        <f ca="1">SUMIF(Пр5!C9:C845,312,Пр5!F9:F844)</f>
        <v>0</v>
      </c>
      <c r="D42" s="99">
        <f ca="1">SUMIF(Пр5!C9:C845,312,Пр5!G9:G844)</f>
        <v>0</v>
      </c>
    </row>
    <row r="43" spans="1:4" ht="48" hidden="1" thickBot="1">
      <c r="A43" s="85">
        <v>313</v>
      </c>
      <c r="B43" s="8" t="s">
        <v>783</v>
      </c>
      <c r="C43" s="100">
        <f ca="1">SUMIF(Пр5!C9:C845,313,Пр5!F9:F844)</f>
        <v>0</v>
      </c>
      <c r="D43" s="100">
        <f ca="1">SUMIF(Пр5!C9:C845,313,Пр5!G9:G844)</f>
        <v>0</v>
      </c>
    </row>
    <row r="44" spans="1:4" ht="32.25" hidden="1" thickBot="1">
      <c r="A44" s="91">
        <v>314</v>
      </c>
      <c r="B44" s="92" t="s">
        <v>865</v>
      </c>
      <c r="C44" s="100">
        <f ca="1">SUMIF(Пр5!C9:C845,314,Пр5!F9:F844)</f>
        <v>0</v>
      </c>
      <c r="D44" s="100">
        <f ca="1">SUMIF(Пр5!C9:C845,314,Пр5!G9:G844)</f>
        <v>0</v>
      </c>
    </row>
    <row r="45" spans="1:4" ht="16.5" thickBot="1">
      <c r="A45" s="89">
        <v>400</v>
      </c>
      <c r="B45" s="94" t="s">
        <v>379</v>
      </c>
      <c r="C45" s="96">
        <f ca="1">SUM(C46:C57)</f>
        <v>118398838</v>
      </c>
      <c r="D45" s="96">
        <f ca="1">SUM(D46:D57)</f>
        <v>95330737</v>
      </c>
    </row>
    <row r="46" spans="1:4" hidden="1">
      <c r="A46" s="87">
        <v>401</v>
      </c>
      <c r="B46" s="113" t="s">
        <v>1593</v>
      </c>
      <c r="C46" s="100">
        <f ca="1">SUMIF(Пр5!C9:C845,401,Пр5!F9:F844)</f>
        <v>0</v>
      </c>
      <c r="D46" s="100">
        <f ca="1">SUMIF(Пр5!C9:C845,401,Пр5!G9:G844)</f>
        <v>0</v>
      </c>
    </row>
    <row r="47" spans="1:4">
      <c r="A47" s="85">
        <v>402</v>
      </c>
      <c r="B47" s="80" t="s">
        <v>217</v>
      </c>
      <c r="C47" s="15">
        <f ca="1">SUMIF(Пр5!C9:C845,402,Пр5!F9:F844)</f>
        <v>16368346</v>
      </c>
      <c r="D47" s="15">
        <f ca="1">SUMIF(Пр5!C9:C845,402,Пр5!G9:G844)</f>
        <v>9617380</v>
      </c>
    </row>
    <row r="48" spans="1:4" hidden="1">
      <c r="A48" s="85">
        <v>403</v>
      </c>
      <c r="B48" s="8" t="s">
        <v>1350</v>
      </c>
      <c r="C48" s="15">
        <f ca="1">SUMIF(Пр5!C9:C845,403,Пр5!F9:F844)</f>
        <v>0</v>
      </c>
      <c r="D48" s="15">
        <f ca="1">SUMIF(Пр5!C9:C845,403,Пр5!G9:G844)</f>
        <v>0</v>
      </c>
    </row>
    <row r="49" spans="1:4" hidden="1">
      <c r="A49" s="85">
        <v>404</v>
      </c>
      <c r="B49" s="8" t="s">
        <v>1351</v>
      </c>
      <c r="C49" s="15">
        <f ca="1">SUMIF(Пр5!C9:C845,404,Пр5!F9:F844)</f>
        <v>0</v>
      </c>
      <c r="D49" s="15">
        <f ca="1">SUMIF(Пр5!C9:C845,404,Пр5!G9:G844)</f>
        <v>0</v>
      </c>
    </row>
    <row r="50" spans="1:4">
      <c r="A50" s="85">
        <v>405</v>
      </c>
      <c r="B50" s="8" t="s">
        <v>1794</v>
      </c>
      <c r="C50" s="15">
        <f ca="1">SUMIF(Пр5!C9:C845,405,Пр5!F9:F844)</f>
        <v>4308429</v>
      </c>
      <c r="D50" s="15">
        <f ca="1">SUMIF(Пр5!C9:C845,405,Пр5!G9:G844)</f>
        <v>4090659</v>
      </c>
    </row>
    <row r="51" spans="1:4" hidden="1">
      <c r="A51" s="85">
        <v>406</v>
      </c>
      <c r="B51" s="8" t="s">
        <v>1352</v>
      </c>
      <c r="C51" s="15">
        <f ca="1">SUMIF(Пр5!C9:C845,406,Пр5!F9:F844)</f>
        <v>0</v>
      </c>
      <c r="D51" s="15">
        <f ca="1">SUMIF(Пр5!C9:C845,406,Пр5!G9:G844)</f>
        <v>0</v>
      </c>
    </row>
    <row r="52" spans="1:4" hidden="1">
      <c r="A52" s="85">
        <v>407</v>
      </c>
      <c r="B52" s="8" t="s">
        <v>1353</v>
      </c>
      <c r="C52" s="15">
        <f ca="1">SUMIF(Пр5!C9:C845,407,Пр5!F9:F844)</f>
        <v>0</v>
      </c>
      <c r="D52" s="15">
        <f ca="1">SUMIF(Пр5!C9:C845,407,Пр5!G9:G844)</f>
        <v>0</v>
      </c>
    </row>
    <row r="53" spans="1:4">
      <c r="A53" s="85">
        <v>408</v>
      </c>
      <c r="B53" s="8" t="s">
        <v>1795</v>
      </c>
      <c r="C53" s="15">
        <f ca="1">SUMIF(Пр5!C9:C845,408,Пр5!F9:F844)</f>
        <v>16013200</v>
      </c>
      <c r="D53" s="15">
        <f ca="1">SUMIF(Пр5!C9:C845,408,Пр5!G9:G844)</f>
        <v>15496111</v>
      </c>
    </row>
    <row r="54" spans="1:4">
      <c r="A54" s="85">
        <v>409</v>
      </c>
      <c r="B54" s="8" t="s">
        <v>366</v>
      </c>
      <c r="C54" s="15">
        <f ca="1">SUMIF(Пр5!C9:C845,409,Пр5!F9:F844)</f>
        <v>69768974</v>
      </c>
      <c r="D54" s="15">
        <f ca="1">SUMIF(Пр5!C9:C845,409,Пр5!G9:G844)</f>
        <v>54391998</v>
      </c>
    </row>
    <row r="55" spans="1:4" hidden="1">
      <c r="A55" s="85">
        <v>410</v>
      </c>
      <c r="B55" s="8" t="s">
        <v>444</v>
      </c>
      <c r="C55" s="15">
        <f ca="1">SUMIF(Пр5!C9:C845,1410,Пр5!F9:F844)</f>
        <v>0</v>
      </c>
      <c r="D55" s="15">
        <f ca="1">SUMIF(Пр5!C9:C845,1410,Пр5!G9:G844)</f>
        <v>0</v>
      </c>
    </row>
    <row r="56" spans="1:4" ht="31.5" hidden="1">
      <c r="A56" s="85">
        <v>411</v>
      </c>
      <c r="B56" s="8" t="s">
        <v>1354</v>
      </c>
      <c r="C56" s="15">
        <f ca="1">SUMIF(Пр5!C9:C845,411,Пр5!F9:F844)</f>
        <v>0</v>
      </c>
      <c r="D56" s="15">
        <f ca="1">SUMIF(Пр5!C9:C845,411,Пр5!G9:G844)</f>
        <v>0</v>
      </c>
    </row>
    <row r="57" spans="1:4" ht="16.5" thickBot="1">
      <c r="A57" s="91">
        <v>412</v>
      </c>
      <c r="B57" s="92" t="s">
        <v>867</v>
      </c>
      <c r="C57" s="15">
        <f ca="1">SUMIF(Пр5!C9:C845,412,Пр5!F9:F844)</f>
        <v>11939889</v>
      </c>
      <c r="D57" s="15">
        <f ca="1">SUMIF(Пр5!C9:C845,412,Пр5!G9:G844)</f>
        <v>11734589</v>
      </c>
    </row>
    <row r="58" spans="1:4" ht="16.5" thickBot="1">
      <c r="A58" s="89">
        <v>500</v>
      </c>
      <c r="B58" s="94" t="s">
        <v>832</v>
      </c>
      <c r="C58" s="96">
        <f ca="1">SUM(C59:C63)</f>
        <v>289716360.03000003</v>
      </c>
      <c r="D58" s="96">
        <f ca="1">SUM(D59:D63)</f>
        <v>182834911</v>
      </c>
    </row>
    <row r="59" spans="1:4">
      <c r="A59" s="87">
        <v>501</v>
      </c>
      <c r="B59" s="93" t="s">
        <v>558</v>
      </c>
      <c r="C59" s="95">
        <f ca="1">SUMIF(Пр5!C9:C845,501,Пр5!F9:F844)</f>
        <v>174340269.27000001</v>
      </c>
      <c r="D59" s="95">
        <f ca="1">SUMIF(Пр5!C9:C845,501,Пр5!G9:G844)</f>
        <v>84127243</v>
      </c>
    </row>
    <row r="60" spans="1:4">
      <c r="A60" s="85">
        <v>502</v>
      </c>
      <c r="B60" s="8" t="s">
        <v>559</v>
      </c>
      <c r="C60" s="15">
        <f ca="1">SUMIF(Пр5!C9:C845,502,Пр5!F9:F844)</f>
        <v>108169639.76000001</v>
      </c>
      <c r="D60" s="15">
        <f ca="1">SUMIF(Пр5!C9:C845,502,Пр5!G9:G844)</f>
        <v>91659337</v>
      </c>
    </row>
    <row r="61" spans="1:4" hidden="1">
      <c r="A61" s="85">
        <v>503</v>
      </c>
      <c r="B61" s="80" t="s">
        <v>330</v>
      </c>
      <c r="C61" s="15">
        <f ca="1">SUMIF(Пр5!C9:C845,503,Пр5!F9:F844)</f>
        <v>0</v>
      </c>
      <c r="D61" s="15">
        <f ca="1">SUMIF(Пр5!C9:C845,503,Пр5!G9:G844)</f>
        <v>0</v>
      </c>
    </row>
    <row r="62" spans="1:4" ht="31.5" hidden="1">
      <c r="A62" s="85">
        <v>504</v>
      </c>
      <c r="B62" s="8" t="s">
        <v>707</v>
      </c>
      <c r="C62" s="15">
        <f ca="1">SUMIF(Пр5!C9:C845,504,Пр5!F9:F844)</f>
        <v>0</v>
      </c>
      <c r="D62" s="15">
        <f ca="1">SUMIF(Пр5!C9:C845,504,Пр5!G9:G844)</f>
        <v>0</v>
      </c>
    </row>
    <row r="63" spans="1:4" ht="21" customHeight="1" thickBot="1">
      <c r="A63" s="91">
        <v>505</v>
      </c>
      <c r="B63" s="92" t="s">
        <v>770</v>
      </c>
      <c r="C63" s="15">
        <f ca="1">SUMIF(Пр5!C9:C845,505,Пр5!F9:F844)</f>
        <v>7206451</v>
      </c>
      <c r="D63" s="15">
        <f ca="1">SUMIF(Пр5!C9:C845,505,Пр5!G9:G844)</f>
        <v>7048331</v>
      </c>
    </row>
    <row r="64" spans="1:4" ht="16.5" thickBot="1">
      <c r="A64" s="89">
        <v>600</v>
      </c>
      <c r="B64" s="97" t="s">
        <v>569</v>
      </c>
      <c r="C64" s="96">
        <f ca="1">SUM(C65:C69)</f>
        <v>5000</v>
      </c>
      <c r="D64" s="96">
        <f ca="1">SUM(D65:D69)</f>
        <v>3520</v>
      </c>
    </row>
    <row r="65" spans="1:4" hidden="1">
      <c r="A65" s="87">
        <v>601</v>
      </c>
      <c r="B65" s="88" t="s">
        <v>570</v>
      </c>
      <c r="C65" s="95">
        <f ca="1">SUMIF(Пр5!C9:C845,601,Пр5!F9:F844)</f>
        <v>0</v>
      </c>
      <c r="D65" s="95">
        <f ca="1">SUMIF(Пр5!C9:C845,601,Пр5!G9:G844)</f>
        <v>0</v>
      </c>
    </row>
    <row r="66" spans="1:4" hidden="1">
      <c r="A66" s="85">
        <v>602</v>
      </c>
      <c r="B66" s="8" t="s">
        <v>1610</v>
      </c>
      <c r="C66" s="15">
        <f ca="1">SUMIF(Пр5!C9:C845,602,Пр5!F9:F844)</f>
        <v>0</v>
      </c>
      <c r="D66" s="15">
        <f ca="1">SUMIF(Пр5!C9:C845,602,Пр5!G9:G844)</f>
        <v>0</v>
      </c>
    </row>
    <row r="67" spans="1:4" ht="31.5" hidden="1">
      <c r="A67" s="85">
        <v>603</v>
      </c>
      <c r="B67" s="8" t="s">
        <v>1611</v>
      </c>
      <c r="C67" s="15">
        <f ca="1">SUMIF(Пр5!C9:C845,603,Пр5!F9:F844)</f>
        <v>0</v>
      </c>
      <c r="D67" s="15">
        <f ca="1">SUMIF(Пр5!C9:C845,603,Пр5!G9:G844)</f>
        <v>0</v>
      </c>
    </row>
    <row r="68" spans="1:4" ht="31.5" hidden="1">
      <c r="A68" s="85">
        <v>604</v>
      </c>
      <c r="B68" s="8" t="s">
        <v>1800</v>
      </c>
      <c r="C68" s="15">
        <f ca="1">SUMIF(Пр5!C9:C845,604,Пр5!F9:F844)</f>
        <v>0</v>
      </c>
      <c r="D68" s="15">
        <f ca="1">SUMIF(Пр5!C9:C845,604,Пр5!G9:G844)</f>
        <v>0</v>
      </c>
    </row>
    <row r="69" spans="1:4" ht="16.5" thickBot="1">
      <c r="A69" s="91">
        <v>605</v>
      </c>
      <c r="B69" s="92" t="s">
        <v>509</v>
      </c>
      <c r="C69" s="15">
        <f ca="1">SUMIF(Пр5!C9:C845,605,Пр5!F9:F844)</f>
        <v>5000</v>
      </c>
      <c r="D69" s="15">
        <f ca="1">SUMIF(Пр5!C9:C845,605,Пр5!G9:G844)</f>
        <v>3520</v>
      </c>
    </row>
    <row r="70" spans="1:4" ht="16.5" thickBot="1">
      <c r="A70" s="89">
        <v>700</v>
      </c>
      <c r="B70" s="97" t="s">
        <v>1612</v>
      </c>
      <c r="C70" s="96">
        <f ca="1">SUM(C71:C79)</f>
        <v>873147737</v>
      </c>
      <c r="D70" s="96">
        <f ca="1">SUM(D71:D79)</f>
        <v>828461736</v>
      </c>
    </row>
    <row r="71" spans="1:4">
      <c r="A71" s="87">
        <v>701</v>
      </c>
      <c r="B71" s="93" t="s">
        <v>32</v>
      </c>
      <c r="C71" s="95">
        <f ca="1">SUMIF(Пр5!C9:C845,701,Пр5!F9:F844)</f>
        <v>293919720</v>
      </c>
      <c r="D71" s="95">
        <f ca="1">SUMIF(Пр5!C9:C845,701,Пр5!G9:G844)</f>
        <v>280117500</v>
      </c>
    </row>
    <row r="72" spans="1:4">
      <c r="A72" s="85">
        <v>702</v>
      </c>
      <c r="B72" s="8" t="s">
        <v>81</v>
      </c>
      <c r="C72" s="15">
        <f ca="1">SUMIF(Пр5!C9:C845,702,Пр5!F9:F844)</f>
        <v>512106186</v>
      </c>
      <c r="D72" s="15">
        <f ca="1">SUMIF(Пр5!C9:C845,702,Пр5!G9:G844)</f>
        <v>484772348</v>
      </c>
    </row>
    <row r="73" spans="1:4" hidden="1">
      <c r="A73" s="85">
        <v>703</v>
      </c>
      <c r="B73" s="8" t="s">
        <v>1801</v>
      </c>
      <c r="C73" s="15">
        <f ca="1">SUMIF(Пр5!C9:C845,703,Пр5!F9:F844)</f>
        <v>0</v>
      </c>
      <c r="D73" s="15">
        <f ca="1">SUMIF(Пр5!C9:C845,703,Пр5!G9:G844)</f>
        <v>0</v>
      </c>
    </row>
    <row r="74" spans="1:4" hidden="1">
      <c r="A74" s="85">
        <v>704</v>
      </c>
      <c r="B74" s="8" t="s">
        <v>375</v>
      </c>
      <c r="C74" s="15">
        <f ca="1">SUMIF(Пр5!C9:C845,704,Пр5!F9:F844)</f>
        <v>0</v>
      </c>
      <c r="D74" s="15">
        <f ca="1">SUMIF(Пр5!C9:C845,704,Пр5!G9:G844)</f>
        <v>0</v>
      </c>
    </row>
    <row r="75" spans="1:4" ht="31.5" hidden="1">
      <c r="A75" s="85">
        <v>705</v>
      </c>
      <c r="B75" s="8" t="s">
        <v>1048</v>
      </c>
      <c r="C75" s="15">
        <f ca="1">SUMIF(Пр5!C9:C845,705,Пр5!F9:F844)</f>
        <v>0</v>
      </c>
      <c r="D75" s="15">
        <f ca="1">SUMIF(Пр5!C9:C845,705,Пр5!G9:G844)</f>
        <v>0</v>
      </c>
    </row>
    <row r="76" spans="1:4" hidden="1">
      <c r="A76" s="86">
        <v>706</v>
      </c>
      <c r="B76" s="84" t="s">
        <v>1049</v>
      </c>
      <c r="C76" s="15">
        <f ca="1">SUMIF(Пр5!C9:C845,706,Пр5!F9:F844)</f>
        <v>0</v>
      </c>
      <c r="D76" s="15">
        <f ca="1">SUMIF(Пр5!C9:C845,706,Пр5!G9:G844)</f>
        <v>0</v>
      </c>
    </row>
    <row r="77" spans="1:4">
      <c r="A77" s="85">
        <v>707</v>
      </c>
      <c r="B77" s="8" t="s">
        <v>814</v>
      </c>
      <c r="C77" s="15">
        <f ca="1">SUMIF(Пр5!C9:C845,707,Пр5!F9:F844)</f>
        <v>24331679</v>
      </c>
      <c r="D77" s="15">
        <f ca="1">SUMIF(Пр5!C9:C845,707,Пр5!G9:G844)</f>
        <v>24296168</v>
      </c>
    </row>
    <row r="78" spans="1:4" hidden="1">
      <c r="A78" s="85">
        <v>708</v>
      </c>
      <c r="B78" s="8" t="s">
        <v>574</v>
      </c>
      <c r="C78" s="15">
        <f ca="1">SUMIF(Пр5!C9:C845,708,Пр5!F9:F844)</f>
        <v>0</v>
      </c>
      <c r="D78" s="15">
        <f ca="1">SUMIF(Пр5!C9:C845,708,Пр5!G9:G844)</f>
        <v>0</v>
      </c>
    </row>
    <row r="79" spans="1:4" ht="16.5" thickBot="1">
      <c r="A79" s="91">
        <v>709</v>
      </c>
      <c r="B79" s="92" t="s">
        <v>53</v>
      </c>
      <c r="C79" s="15">
        <f ca="1">SUMIF(Пр5!C9:C845,709,Пр5!F9:F844)</f>
        <v>42790152</v>
      </c>
      <c r="D79" s="15">
        <f ca="1">SUMIF(Пр5!C9:C845,709,Пр5!G9:G844)</f>
        <v>39275720</v>
      </c>
    </row>
    <row r="80" spans="1:4" ht="14.25" customHeight="1" thickBot="1">
      <c r="A80" s="89">
        <v>800</v>
      </c>
      <c r="B80" s="97" t="s">
        <v>1251</v>
      </c>
      <c r="C80" s="96">
        <f ca="1">SUM(C81:C84)</f>
        <v>90619351</v>
      </c>
      <c r="D80" s="326">
        <f ca="1">SUM(D81:D84)</f>
        <v>89560764</v>
      </c>
    </row>
    <row r="81" spans="1:4" ht="14.25" customHeight="1">
      <c r="A81" s="87">
        <v>801</v>
      </c>
      <c r="B81" s="93" t="s">
        <v>390</v>
      </c>
      <c r="C81" s="95">
        <f ca="1">SUMIF(Пр5!C9:C845,801,Пр5!F9:F844)</f>
        <v>79602587</v>
      </c>
      <c r="D81" s="130">
        <f ca="1">SUMIF(Пр5!C9:C845,801,Пр5!G9:G844)</f>
        <v>79410858</v>
      </c>
    </row>
    <row r="82" spans="1:4" hidden="1">
      <c r="A82" s="85">
        <v>802</v>
      </c>
      <c r="B82" s="8" t="s">
        <v>335</v>
      </c>
      <c r="C82" s="15">
        <f ca="1">SUMIF(Пр5!C9:C845,802,Пр5!F9:F844)</f>
        <v>0</v>
      </c>
      <c r="D82" s="15">
        <f ca="1">SUMIF(Пр5!C9:C845,802,Пр5!G9:G844)</f>
        <v>0</v>
      </c>
    </row>
    <row r="83" spans="1:4" ht="31.5" hidden="1">
      <c r="A83" s="85">
        <v>803</v>
      </c>
      <c r="B83" s="8" t="s">
        <v>1252</v>
      </c>
      <c r="C83" s="15">
        <f ca="1">SUMIF(Пр5!C9:C845,803,Пр5!F9:F844)</f>
        <v>0</v>
      </c>
      <c r="D83" s="15">
        <f ca="1">SUMIF(Пр5!C9:C845,803,Пр5!G9:G844)</f>
        <v>0</v>
      </c>
    </row>
    <row r="84" spans="1:4" ht="17.25" customHeight="1">
      <c r="A84" s="85">
        <v>804</v>
      </c>
      <c r="B84" s="8" t="s">
        <v>1271</v>
      </c>
      <c r="C84" s="130">
        <f ca="1">SUMIF(Пр5!C9:C845,804,Пр5!F9:F844)</f>
        <v>11016764</v>
      </c>
      <c r="D84" s="130">
        <f ca="1">SUMIF(Пр5!C9:C845,804,Пр5!G9:G844)</f>
        <v>10149906</v>
      </c>
    </row>
    <row r="85" spans="1:4" ht="16.5" thickBot="1">
      <c r="A85" s="253">
        <v>900</v>
      </c>
      <c r="B85" s="251" t="s">
        <v>1272</v>
      </c>
      <c r="C85" s="252">
        <f ca="1">SUM(C86:C94)</f>
        <v>440000</v>
      </c>
      <c r="D85" s="252">
        <f ca="1">SUM(D86:D94)</f>
        <v>440000</v>
      </c>
    </row>
    <row r="86" spans="1:4" hidden="1">
      <c r="A86" s="87">
        <v>901</v>
      </c>
      <c r="B86" s="93" t="s">
        <v>239</v>
      </c>
      <c r="C86" s="95">
        <f ca="1">SUMIF(Пр5!C9:C845,901,Пр5!F9:F844)</f>
        <v>0</v>
      </c>
      <c r="D86" s="95">
        <f ca="1">SUMIF(Пр5!C9:C845,901,Пр5!G9:G844)</f>
        <v>0</v>
      </c>
    </row>
    <row r="87" spans="1:4" hidden="1">
      <c r="A87" s="85">
        <v>902</v>
      </c>
      <c r="B87" s="8" t="s">
        <v>240</v>
      </c>
      <c r="C87" s="15">
        <f ca="1">SUMIF(Пр5!C9:C845,902,Пр5!F9:F844)</f>
        <v>0</v>
      </c>
      <c r="D87" s="15">
        <f ca="1">SUMIF(Пр5!C9:C845,902,Пр5!G9:G844)</f>
        <v>0</v>
      </c>
    </row>
    <row r="88" spans="1:4" hidden="1">
      <c r="A88" s="85">
        <v>903</v>
      </c>
      <c r="B88" s="8" t="s">
        <v>192</v>
      </c>
      <c r="C88" s="15">
        <f ca="1">SUMIF(Пр5!C9:C845,903,Пр5!F9:F844)</f>
        <v>0</v>
      </c>
      <c r="D88" s="15">
        <f ca="1">SUMIF(Пр5!C9:C845,903,Пр5!G9:G844)</f>
        <v>0</v>
      </c>
    </row>
    <row r="89" spans="1:4" hidden="1">
      <c r="A89" s="85">
        <v>904</v>
      </c>
      <c r="B89" s="8" t="s">
        <v>229</v>
      </c>
      <c r="C89" s="15">
        <f ca="1">SUMIF(Пр5!C9:C845,904,Пр5!F9:F844)</f>
        <v>0</v>
      </c>
      <c r="D89" s="15">
        <f ca="1">SUMIF(Пр5!C9:C845,904,Пр5!G9:G844)</f>
        <v>0</v>
      </c>
    </row>
    <row r="90" spans="1:4" hidden="1">
      <c r="A90" s="85">
        <v>905</v>
      </c>
      <c r="B90" s="81" t="s">
        <v>58</v>
      </c>
      <c r="C90" s="15">
        <f ca="1">SUMIF(Пр5!C9:C845,905,Пр5!F9:F844)</f>
        <v>0</v>
      </c>
      <c r="D90" s="15">
        <f ca="1">SUMIF(Пр5!C9:C845,905,Пр5!G9:G844)</f>
        <v>0</v>
      </c>
    </row>
    <row r="91" spans="1:4" ht="31.5" hidden="1">
      <c r="A91" s="85">
        <v>906</v>
      </c>
      <c r="B91" s="81" t="s">
        <v>912</v>
      </c>
      <c r="C91" s="15">
        <f ca="1">SUMIF(Пр5!C9:C845,906,Пр5!F9:F844)</f>
        <v>0</v>
      </c>
      <c r="D91" s="15">
        <f ca="1">SUMIF(Пр5!C9:C845,906,Пр5!G9:G844)</f>
        <v>0</v>
      </c>
    </row>
    <row r="92" spans="1:4" hidden="1">
      <c r="A92" s="85">
        <v>907</v>
      </c>
      <c r="B92" s="8" t="s">
        <v>913</v>
      </c>
      <c r="C92" s="15">
        <f ca="1">SUMIF(Пр5!C9:C845,907,Пр5!F9:F844)</f>
        <v>0</v>
      </c>
      <c r="D92" s="15">
        <f ca="1">SUMIF(Пр5!C9:C845,907,Пр5!G9:G844)</f>
        <v>0</v>
      </c>
    </row>
    <row r="93" spans="1:4" ht="31.5" hidden="1">
      <c r="A93" s="85">
        <v>908</v>
      </c>
      <c r="B93" s="80" t="s">
        <v>1273</v>
      </c>
      <c r="C93" s="15">
        <f ca="1">SUMIF(Пр5!C9:C845,908,Пр5!F9:F844)</f>
        <v>0</v>
      </c>
      <c r="D93" s="15">
        <f ca="1">SUMIF(Пр5!C9:C845,908,Пр5!G9:G844)</f>
        <v>0</v>
      </c>
    </row>
    <row r="94" spans="1:4" ht="16.5" thickBot="1">
      <c r="A94" s="91">
        <v>909</v>
      </c>
      <c r="B94" s="92" t="s">
        <v>1274</v>
      </c>
      <c r="C94" s="15">
        <f ca="1">SUMIF(Пр5!C9:C845,909,Пр5!F9:F844)</f>
        <v>440000</v>
      </c>
      <c r="D94" s="15">
        <f ca="1">SUMIF(Пр5!C9:C845,909,Пр5!G9:G844)</f>
        <v>440000</v>
      </c>
    </row>
    <row r="95" spans="1:4" ht="16.5" thickBot="1">
      <c r="A95" s="89">
        <v>1000</v>
      </c>
      <c r="B95" s="97" t="s">
        <v>1030</v>
      </c>
      <c r="C95" s="96">
        <f ca="1">SUM(C96:C101)</f>
        <v>316382474.75</v>
      </c>
      <c r="D95" s="96">
        <f ca="1">SUM(D96:D101)</f>
        <v>311637846</v>
      </c>
    </row>
    <row r="96" spans="1:4">
      <c r="A96" s="87">
        <v>1001</v>
      </c>
      <c r="B96" s="93" t="s">
        <v>428</v>
      </c>
      <c r="C96" s="95">
        <f ca="1">SUMIF(Пр5!C9:C845,1001,Пр5!F9:F844)</f>
        <v>2256800</v>
      </c>
      <c r="D96" s="95">
        <f ca="1">SUMIF(Пр5!C9:C845,1001,Пр5!G9:G844)</f>
        <v>2256176</v>
      </c>
    </row>
    <row r="97" spans="1:4">
      <c r="A97" s="85">
        <v>1002</v>
      </c>
      <c r="B97" s="8" t="s">
        <v>77</v>
      </c>
      <c r="C97" s="15">
        <f ca="1">SUMIF(Пр5!C9:C845,1002,Пр5!F9:F844)</f>
        <v>36883946</v>
      </c>
      <c r="D97" s="15">
        <f ca="1">SUMIF(Пр5!C9:C845,1002,Пр5!G9:G844)</f>
        <v>36883946</v>
      </c>
    </row>
    <row r="98" spans="1:4">
      <c r="A98" s="85">
        <v>1003</v>
      </c>
      <c r="B98" s="8" t="s">
        <v>353</v>
      </c>
      <c r="C98" s="15">
        <f ca="1">SUMIF(Пр5!C9:C845,1003,Пр5!F9:F844)</f>
        <v>213604879.75</v>
      </c>
      <c r="D98" s="15">
        <f ca="1">SUMIF(Пр5!C9:C845,1003,Пр5!G9:G844)</f>
        <v>210143698</v>
      </c>
    </row>
    <row r="99" spans="1:4">
      <c r="A99" s="85">
        <v>1004</v>
      </c>
      <c r="B99" s="80" t="s">
        <v>1031</v>
      </c>
      <c r="C99" s="15">
        <f ca="1">SUMIF(Пр5!C9:C845,1004,Пр5!F9:F844)</f>
        <v>50109304</v>
      </c>
      <c r="D99" s="15">
        <f ca="1">SUMIF(Пр5!C9:C845,1004,Пр5!G9:G844)</f>
        <v>49017193</v>
      </c>
    </row>
    <row r="100" spans="1:4" ht="31.5" hidden="1">
      <c r="A100" s="85">
        <v>1005</v>
      </c>
      <c r="B100" s="8" t="s">
        <v>1034</v>
      </c>
      <c r="C100" s="15">
        <f ca="1">SUMIF(Пр5!C9:C845,1005,Пр5!F9:F844)</f>
        <v>0</v>
      </c>
      <c r="D100" s="15">
        <f ca="1">SUMIF(Пр5!C9:C845,1005,Пр5!G9:G844)</f>
        <v>0</v>
      </c>
    </row>
    <row r="101" spans="1:4" ht="16.5" thickBot="1">
      <c r="A101" s="91">
        <v>1006</v>
      </c>
      <c r="B101" s="92" t="s">
        <v>78</v>
      </c>
      <c r="C101" s="15">
        <f ca="1">SUMIF(Пр5!C9:C845,1006,Пр5!F9:F844)</f>
        <v>13527545</v>
      </c>
      <c r="D101" s="15">
        <f ca="1">SUMIF(Пр5!C9:C845,1006,Пр5!G9:G844)</f>
        <v>13336833</v>
      </c>
    </row>
    <row r="102" spans="1:4" ht="16.5" thickBot="1">
      <c r="A102" s="89">
        <v>1100</v>
      </c>
      <c r="B102" s="97" t="s">
        <v>1275</v>
      </c>
      <c r="C102" s="96">
        <f ca="1">SUM(C103:C107)</f>
        <v>6603567</v>
      </c>
      <c r="D102" s="96">
        <f ca="1">SUM(D103:D107)</f>
        <v>6603563</v>
      </c>
    </row>
    <row r="103" spans="1:4" hidden="1">
      <c r="A103" s="87">
        <v>1101</v>
      </c>
      <c r="B103" s="93" t="s">
        <v>1276</v>
      </c>
      <c r="C103" s="95">
        <f ca="1">SUMIF(Пр5!C9:C845,1101,Пр5!F9:F844)</f>
        <v>0</v>
      </c>
      <c r="D103" s="95">
        <f ca="1">SUMIF(Пр5!C9:C845,1101,Пр5!G9:G844)</f>
        <v>0</v>
      </c>
    </row>
    <row r="104" spans="1:4" ht="16.5" thickBot="1">
      <c r="A104" s="85">
        <v>1102</v>
      </c>
      <c r="B104" s="81" t="s">
        <v>1277</v>
      </c>
      <c r="C104" s="15">
        <f ca="1">SUMIF(Пр5!C9:C845,1102,Пр5!F9:F844)</f>
        <v>6603567</v>
      </c>
      <c r="D104" s="15">
        <f ca="1">SUMIF(Пр5!C9:C845,1102,Пр5!G9:G844)</f>
        <v>6603563</v>
      </c>
    </row>
    <row r="105" spans="1:4" ht="16.5" hidden="1" thickBot="1">
      <c r="A105" s="85">
        <v>1103</v>
      </c>
      <c r="B105" s="8" t="s">
        <v>1278</v>
      </c>
      <c r="C105" s="15">
        <f ca="1">SUMIF(Пр5!C9:C845,1103,Пр5!F9:F844)</f>
        <v>0</v>
      </c>
      <c r="D105" s="15">
        <f ca="1">SUMIF(Пр5!C9:C845,1103,Пр5!G9:G844)</f>
        <v>0</v>
      </c>
    </row>
    <row r="106" spans="1:4" ht="32.25" hidden="1" thickBot="1">
      <c r="A106" s="85">
        <v>1104</v>
      </c>
      <c r="B106" s="8" t="s">
        <v>1279</v>
      </c>
      <c r="C106" s="15">
        <f ca="1">SUMIF(Пр5!C9:C845,1104,Пр5!F9:F844)</f>
        <v>0</v>
      </c>
      <c r="D106" s="15">
        <f ca="1">SUMIF(Пр5!C9:C845,1104,Пр5!G9:G844)</f>
        <v>0</v>
      </c>
    </row>
    <row r="107" spans="1:4" ht="16.5" hidden="1" thickBot="1">
      <c r="A107" s="91">
        <v>1105</v>
      </c>
      <c r="B107" s="92" t="s">
        <v>1280</v>
      </c>
      <c r="C107" s="15">
        <f ca="1">SUMIF(Пр5!C9:C845,1105,Пр5!F9:F844)</f>
        <v>0</v>
      </c>
      <c r="D107" s="15">
        <f ca="1">SUMIF(Пр5!C9:C845,1105,Пр5!G9:G844)</f>
        <v>0</v>
      </c>
    </row>
    <row r="108" spans="1:4" ht="16.5" thickBot="1">
      <c r="A108" s="89">
        <v>1200</v>
      </c>
      <c r="B108" s="97" t="s">
        <v>1281</v>
      </c>
      <c r="C108" s="96">
        <f ca="1">SUM(C109:C112)</f>
        <v>3169995</v>
      </c>
      <c r="D108" s="96">
        <f ca="1">SUM(D109:D112)</f>
        <v>3169995</v>
      </c>
    </row>
    <row r="109" spans="1:4" hidden="1">
      <c r="A109" s="87">
        <v>1201</v>
      </c>
      <c r="B109" s="93" t="s">
        <v>336</v>
      </c>
      <c r="C109" s="95">
        <f ca="1">SUMIF(Пр5!C9:C845,1201,Пр5!F9:F844)</f>
        <v>0</v>
      </c>
      <c r="D109" s="95">
        <f ca="1">SUMIF(Пр5!C9:C845,1201,Пр5!G9:G844)</f>
        <v>0</v>
      </c>
    </row>
    <row r="110" spans="1:4" ht="16.5" thickBot="1">
      <c r="A110" s="85">
        <v>1202</v>
      </c>
      <c r="B110" s="8" t="s">
        <v>185</v>
      </c>
      <c r="C110" s="15">
        <f ca="1">SUMIF(Пр5!C9:C845,1202,Пр5!F9:F844)</f>
        <v>3169995</v>
      </c>
      <c r="D110" s="15">
        <f ca="1">SUMIF(Пр5!C9:C845,1202,Пр5!G9:G844)</f>
        <v>3169995</v>
      </c>
    </row>
    <row r="111" spans="1:4" ht="32.25" hidden="1" thickBot="1">
      <c r="A111" s="85">
        <v>1203</v>
      </c>
      <c r="B111" s="8" t="s">
        <v>1282</v>
      </c>
      <c r="C111" s="15">
        <f ca="1">SUMIF(Пр5!C9:C845,1203,Пр5!F9:F844)</f>
        <v>0</v>
      </c>
      <c r="D111" s="15">
        <f ca="1">SUMIF(Пр5!C9:C845,1203,Пр5!G9:G844)</f>
        <v>0</v>
      </c>
    </row>
    <row r="112" spans="1:4" ht="16.5" hidden="1" thickBot="1">
      <c r="A112" s="91">
        <v>1204</v>
      </c>
      <c r="B112" s="92" t="s">
        <v>1283</v>
      </c>
      <c r="C112" s="15">
        <f ca="1">SUMIF(Пр5!C9:C845,1204,Пр5!F9:F844)</f>
        <v>0</v>
      </c>
      <c r="D112" s="15">
        <f ca="1">SUMIF(Пр5!C9:C845,1204,Пр5!G9:G844)</f>
        <v>0</v>
      </c>
    </row>
    <row r="113" spans="1:4" ht="32.25" thickBot="1">
      <c r="A113" s="89">
        <v>1300</v>
      </c>
      <c r="B113" s="97" t="s">
        <v>1284</v>
      </c>
      <c r="C113" s="96">
        <f ca="1">SUM(C114:C115)</f>
        <v>1120000</v>
      </c>
      <c r="D113" s="96">
        <f ca="1">SUM(D114:D115)</f>
        <v>1118002</v>
      </c>
    </row>
    <row r="114" spans="1:4" ht="32.25" thickBot="1">
      <c r="A114" s="87">
        <v>1301</v>
      </c>
      <c r="B114" s="93" t="s">
        <v>511</v>
      </c>
      <c r="C114" s="95">
        <f ca="1">SUMIF(Пр5!C9:C845,1301,Пр5!F9:F844)</f>
        <v>1120000</v>
      </c>
      <c r="D114" s="95">
        <f ca="1">SUMIF(Пр5!C9:C845,1301,Пр5!G9:G844)</f>
        <v>1118002</v>
      </c>
    </row>
    <row r="115" spans="1:4" ht="16.5" hidden="1" thickBot="1">
      <c r="A115" s="91">
        <v>1302</v>
      </c>
      <c r="B115" s="92" t="s">
        <v>866</v>
      </c>
      <c r="C115" s="15">
        <f ca="1">SUMIF(Пр5!C9:C845,1302,Пр5!F9:F844)</f>
        <v>0</v>
      </c>
      <c r="D115" s="15">
        <f ca="1">SUMIF(Пр5!C9:C845,1302,Пр5!G9:G844)</f>
        <v>0</v>
      </c>
    </row>
    <row r="116" spans="1:4" ht="63.75" thickBot="1">
      <c r="A116" s="89">
        <v>1400</v>
      </c>
      <c r="B116" s="97" t="s">
        <v>880</v>
      </c>
      <c r="C116" s="96">
        <f ca="1">SUM(C117:C119)</f>
        <v>5012875</v>
      </c>
      <c r="D116" s="96">
        <f ca="1">SUM(D117:D119)</f>
        <v>5012875</v>
      </c>
    </row>
    <row r="117" spans="1:4" ht="47.25">
      <c r="A117" s="87">
        <v>1401</v>
      </c>
      <c r="B117" s="93" t="s">
        <v>881</v>
      </c>
      <c r="C117" s="95">
        <f ca="1">SUMIF(Пр5!C9:C845,1401,Пр5!F9:F844)</f>
        <v>3625000</v>
      </c>
      <c r="D117" s="95">
        <f ca="1">SUMIF(Пр5!C9:C845,1401,Пр5!G9:G844)</f>
        <v>3625000</v>
      </c>
    </row>
    <row r="118" spans="1:4">
      <c r="A118" s="85">
        <v>1402</v>
      </c>
      <c r="B118" s="8" t="s">
        <v>882</v>
      </c>
      <c r="C118" s="15">
        <f ca="1">SUMIF(Пр5!C9:C845,1402,Пр5!F9:F844)</f>
        <v>1040000</v>
      </c>
      <c r="D118" s="15">
        <f ca="1">SUMIF(Пр5!C9:C845,1402,Пр5!G9:G844)</f>
        <v>1040000</v>
      </c>
    </row>
    <row r="119" spans="1:4" ht="48" thickBot="1">
      <c r="A119" s="85">
        <v>1403</v>
      </c>
      <c r="B119" s="8" t="s">
        <v>883</v>
      </c>
      <c r="C119" s="15">
        <f ca="1">SUMIF(Пр5!C9:C845,1403,Пр5!F9:F844)</f>
        <v>347875</v>
      </c>
      <c r="D119" s="15">
        <f ca="1">SUMIF(Пр5!C9:C845,1403,Пр5!G9:G844)</f>
        <v>347875</v>
      </c>
    </row>
    <row r="120" spans="1:4" ht="16.5" thickBot="1">
      <c r="A120" s="336" t="s">
        <v>1099</v>
      </c>
      <c r="B120" s="337"/>
      <c r="C120" s="66">
        <f ca="1">C9+C22+C32+C45+C58+C64+C70+C80+C85+C95+C102+C108+C113+C116</f>
        <v>1782034002.78</v>
      </c>
      <c r="D120" s="66">
        <f ca="1">D9+D22+D32+D45+D58+D64+D70+D80+D85+D95+D102+D108+D116+D113</f>
        <v>1600553551</v>
      </c>
    </row>
    <row r="121" spans="1:4" ht="16.5" thickBot="1">
      <c r="A121" s="336" t="s">
        <v>1051</v>
      </c>
      <c r="B121" s="337"/>
      <c r="C121" s="35">
        <f ca="1">Пр1!I153-Пр2!C120</f>
        <v>-19135275.829999924</v>
      </c>
      <c r="D121" s="35">
        <f ca="1">Пр1!J153-Пр2!D120</f>
        <v>4873885</v>
      </c>
    </row>
  </sheetData>
  <sheetProtection formatCells="0" formatColumns="0" formatRows="0" insertColumns="0" insertRows="0" insertHyperlinks="0" deleteColumns="0" deleteRows="0" sort="0" autoFilter="0" pivotTables="0"/>
  <customSheetViews>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2"/>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5"/>
      <headerFooter alignWithMargins="0">
        <oddFooter>&amp;C&amp;P</oddFooter>
      </headerFooter>
    </customSheetView>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1:B121"/>
    <mergeCell ref="A6:D6"/>
    <mergeCell ref="A120:B120"/>
    <mergeCell ref="A1:D1"/>
    <mergeCell ref="A2:D2"/>
    <mergeCell ref="A3:D3"/>
    <mergeCell ref="A4:D4"/>
  </mergeCells>
  <phoneticPr fontId="0" type="noConversion"/>
  <pageMargins left="0.78740157480314965" right="0.78740157480314965" top="0.39370078740157483" bottom="0.39370078740157483" header="0.19685039370078741" footer="0.19685039370078741"/>
  <pageSetup paperSize="9" scale="98" fitToHeight="0" orientation="portrait" r:id="rId7"/>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Лист5"/>
  <dimension ref="A1:D26"/>
  <sheetViews>
    <sheetView showGridLines="0" view="pageBreakPreview" topLeftCell="A16" zoomScaleSheetLayoutView="100" workbookViewId="0">
      <selection activeCell="D24" sqref="D24"/>
    </sheetView>
  </sheetViews>
  <sheetFormatPr defaultRowHeight="12.75"/>
  <cols>
    <col min="1" max="1" width="28.7109375" bestFit="1" customWidth="1"/>
    <col min="2" max="2" width="53.42578125" customWidth="1"/>
    <col min="3" max="3" width="19.7109375" hidden="1" customWidth="1"/>
    <col min="4" max="4" width="19.7109375" customWidth="1"/>
  </cols>
  <sheetData>
    <row r="1" spans="1:4" ht="15.75">
      <c r="A1" s="342" t="s">
        <v>1938</v>
      </c>
      <c r="B1" s="342"/>
      <c r="C1" s="342"/>
      <c r="D1" s="342"/>
    </row>
    <row r="2" spans="1:4" ht="15.75">
      <c r="A2" s="342" t="s">
        <v>1052</v>
      </c>
      <c r="B2" s="342"/>
      <c r="C2" s="342"/>
      <c r="D2" s="342"/>
    </row>
    <row r="3" spans="1:4" ht="15.75">
      <c r="A3" s="342" t="s">
        <v>705</v>
      </c>
      <c r="B3" s="342"/>
      <c r="C3" s="342"/>
      <c r="D3" s="342"/>
    </row>
    <row r="4" spans="1:4" ht="15.75">
      <c r="A4" s="342" t="s">
        <v>1213</v>
      </c>
      <c r="B4" s="342"/>
      <c r="C4" s="342"/>
      <c r="D4" s="342"/>
    </row>
    <row r="5" spans="1:4" ht="15.75">
      <c r="A5" s="143"/>
      <c r="B5" s="143"/>
      <c r="C5" s="143"/>
    </row>
    <row r="6" spans="1:4" ht="15.75">
      <c r="A6" s="142"/>
      <c r="B6" s="143"/>
      <c r="C6" s="143"/>
    </row>
    <row r="7" spans="1:4" ht="46.5" customHeight="1">
      <c r="A7" s="341" t="s">
        <v>2279</v>
      </c>
      <c r="B7" s="341"/>
      <c r="C7" s="341"/>
    </row>
    <row r="8" spans="1:4" ht="16.5" thickBot="1">
      <c r="A8" s="151"/>
      <c r="B8" s="143"/>
      <c r="C8" s="143"/>
    </row>
    <row r="9" spans="1:4" ht="31.5">
      <c r="A9" s="144" t="s">
        <v>951</v>
      </c>
      <c r="B9" s="145" t="s">
        <v>234</v>
      </c>
      <c r="C9" s="146" t="s">
        <v>2288</v>
      </c>
      <c r="D9" s="146" t="s">
        <v>2276</v>
      </c>
    </row>
    <row r="10" spans="1:4" ht="31.5">
      <c r="A10" s="147" t="s">
        <v>860</v>
      </c>
      <c r="B10" s="65" t="s">
        <v>38</v>
      </c>
      <c r="C10" s="74">
        <f>C11+C13</f>
        <v>0</v>
      </c>
      <c r="D10" s="74">
        <f>D11+D13</f>
        <v>0</v>
      </c>
    </row>
    <row r="11" spans="1:4" ht="31.5">
      <c r="A11" s="147" t="s">
        <v>39</v>
      </c>
      <c r="B11" s="148" t="s">
        <v>1336</v>
      </c>
      <c r="C11" s="140">
        <f>C12</f>
        <v>0</v>
      </c>
      <c r="D11" s="140"/>
    </row>
    <row r="12" spans="1:4" ht="47.25">
      <c r="A12" s="147" t="s">
        <v>1337</v>
      </c>
      <c r="B12" s="148" t="s">
        <v>1457</v>
      </c>
      <c r="C12" s="140">
        <v>0</v>
      </c>
      <c r="D12" s="140"/>
    </row>
    <row r="13" spans="1:4" ht="47.25">
      <c r="A13" s="147" t="s">
        <v>1265</v>
      </c>
      <c r="B13" s="148" t="s">
        <v>1264</v>
      </c>
      <c r="C13" s="140">
        <f>C14</f>
        <v>0</v>
      </c>
      <c r="D13" s="140"/>
    </row>
    <row r="14" spans="1:4" ht="47.25">
      <c r="A14" s="147" t="s">
        <v>780</v>
      </c>
      <c r="B14" s="148" t="s">
        <v>1536</v>
      </c>
      <c r="C14" s="140">
        <v>0</v>
      </c>
      <c r="D14" s="140"/>
    </row>
    <row r="15" spans="1:4" ht="31.5">
      <c r="A15" s="147" t="s">
        <v>2136</v>
      </c>
      <c r="B15" s="65" t="s">
        <v>1722</v>
      </c>
      <c r="C15" s="74">
        <f>C18+C16</f>
        <v>8944349</v>
      </c>
      <c r="D15" s="74">
        <f>D18+D16</f>
        <v>8946499</v>
      </c>
    </row>
    <row r="16" spans="1:4" ht="47.25">
      <c r="A16" s="157" t="s">
        <v>2181</v>
      </c>
      <c r="B16" s="158" t="s">
        <v>2178</v>
      </c>
      <c r="C16" s="36">
        <v>39000000</v>
      </c>
      <c r="D16" s="36">
        <f>D17</f>
        <v>39000000</v>
      </c>
    </row>
    <row r="17" spans="1:4" ht="63">
      <c r="A17" s="157" t="s">
        <v>2180</v>
      </c>
      <c r="B17" s="158" t="s">
        <v>2179</v>
      </c>
      <c r="C17" s="36">
        <v>39000000</v>
      </c>
      <c r="D17" s="36">
        <v>39000000</v>
      </c>
    </row>
    <row r="18" spans="1:4" ht="47.25">
      <c r="A18" s="147" t="s">
        <v>2131</v>
      </c>
      <c r="B18" s="148" t="s">
        <v>580</v>
      </c>
      <c r="C18" s="140">
        <f>C19</f>
        <v>-30055651</v>
      </c>
      <c r="D18" s="140">
        <f>D19</f>
        <v>-30053501</v>
      </c>
    </row>
    <row r="19" spans="1:4" ht="63">
      <c r="A19" s="147" t="s">
        <v>2132</v>
      </c>
      <c r="B19" s="148" t="s">
        <v>398</v>
      </c>
      <c r="C19" s="140">
        <f>-30000000-55651</f>
        <v>-30055651</v>
      </c>
      <c r="D19" s="140">
        <v>-30053501</v>
      </c>
    </row>
    <row r="20" spans="1:4" ht="31.5">
      <c r="A20" s="147" t="s">
        <v>1266</v>
      </c>
      <c r="B20" s="65" t="s">
        <v>739</v>
      </c>
      <c r="C20" s="74">
        <f ca="1">C22+C21</f>
        <v>-13873885</v>
      </c>
      <c r="D20" s="74">
        <f ca="1">D22+D21</f>
        <v>-13849887</v>
      </c>
    </row>
    <row r="21" spans="1:4" ht="31.5">
      <c r="A21" s="147" t="s">
        <v>740</v>
      </c>
      <c r="B21" s="148" t="s">
        <v>1014</v>
      </c>
      <c r="C21" s="140">
        <f>-(Пр1!J153+C11+C24+C16)</f>
        <v>-1644483087</v>
      </c>
      <c r="D21" s="140">
        <f>-Пр1!J153-D24-D16</f>
        <v>-1644456939</v>
      </c>
    </row>
    <row r="22" spans="1:4" ht="31.5">
      <c r="A22" s="77" t="s">
        <v>726</v>
      </c>
      <c r="B22" s="149" t="s">
        <v>359</v>
      </c>
      <c r="C22" s="150">
        <f ca="1">Пр2!D120-C18</f>
        <v>1630609202</v>
      </c>
      <c r="D22" s="150">
        <f ca="1">Пр2!D120-Пр3!D18</f>
        <v>1630607052</v>
      </c>
    </row>
    <row r="23" spans="1:4" ht="31.5">
      <c r="A23" s="77" t="s">
        <v>565</v>
      </c>
      <c r="B23" s="78" t="s">
        <v>485</v>
      </c>
      <c r="C23" s="79">
        <f>C24</f>
        <v>55651</v>
      </c>
      <c r="D23" s="79">
        <f>D24</f>
        <v>29503</v>
      </c>
    </row>
    <row r="24" spans="1:4" ht="47.25">
      <c r="A24" s="77" t="s">
        <v>566</v>
      </c>
      <c r="B24" s="149" t="s">
        <v>555</v>
      </c>
      <c r="C24" s="150">
        <f>C25</f>
        <v>55651</v>
      </c>
      <c r="D24" s="150">
        <f>D25</f>
        <v>29503</v>
      </c>
    </row>
    <row r="25" spans="1:4" ht="48" thickBot="1">
      <c r="A25" s="77" t="s">
        <v>1087</v>
      </c>
      <c r="B25" s="149" t="s">
        <v>1467</v>
      </c>
      <c r="C25" s="150">
        <v>55651</v>
      </c>
      <c r="D25" s="150">
        <v>29503</v>
      </c>
    </row>
    <row r="26" spans="1:4" ht="16.5" thickBot="1">
      <c r="A26" s="339" t="s">
        <v>505</v>
      </c>
      <c r="B26" s="340"/>
      <c r="C26" s="37">
        <f ca="1">C20+C10+C23+C15</f>
        <v>-4873885</v>
      </c>
      <c r="D26" s="37">
        <f ca="1">D20+D10+D23+D15</f>
        <v>-4873885</v>
      </c>
    </row>
  </sheetData>
  <sheetProtection formatCells="0" formatColumns="0" formatRows="0" insertColumns="0" insertRows="0" insertHyperlinks="0" deleteColumns="0" deleteRows="0" sort="0" autoFilter="0" pivotTables="0"/>
  <customSheetViews>
    <customSheetView guid="{91923F83-3A6B-4204-9891-178562AB34F1}" hiddenRows="1" hiddenColumns="1" showRuler="0">
      <selection sqref="A1:IV65536"/>
      <pageMargins left="0.75" right="0.75" top="1" bottom="1" header="0.5" footer="0.5"/>
      <headerFooter alignWithMargins="0"/>
    </customSheetView>
    <customSheetView guid="{66DBF0AC-E9A0-482F-9E41-1928B6CA83DC}" showPageBreaks="1" fitToPage="1" hiddenRows="1" hiddenColumns="1" view="pageBreakPreview" showRuler="0" topLeftCell="A17">
      <selection activeCell="F21" sqref="F21"/>
      <pageMargins left="0.75" right="0.75" top="1" bottom="1" header="0.5" footer="0.5"/>
      <pageSetup paperSize="9" scale="88" orientation="portrait" r:id="rId1"/>
      <headerFooter alignWithMargins="0"/>
    </customSheetView>
    <customSheetView guid="{A5E41FC9-89B1-40D2-B587-57BC4C5E4715}" hiddenRows="1" hiddenColumns="1" showRuler="0">
      <selection sqref="A1:IV65536"/>
      <pageMargins left="0.75" right="0.75" top="1" bottom="1" header="0.5" footer="0.5"/>
      <headerFooter alignWithMargins="0"/>
    </customSheetView>
    <customSheetView guid="{F3607253-7816-4CF7-9CFD-2ADFFAD916F8}" hiddenRows="1" hiddenColumns="1" showRuler="0">
      <selection sqref="A1:IV65536"/>
      <pageMargins left="0.75" right="0.75" top="1" bottom="1" header="0.5" footer="0.5"/>
      <pageSetup paperSize="9" scale="88" orientation="portrait" r:id="rId2"/>
      <headerFooter alignWithMargins="0"/>
    </customSheetView>
    <customSheetView guid="{B3311466-F005-49F1-A579-3E6CECE305A8}" hiddenRows="1" hiddenColumns="1" showRuler="0">
      <selection sqref="A1:IV65536"/>
      <pageMargins left="0.75" right="0.75" top="1" bottom="1" header="0.5" footer="0.5"/>
      <pageSetup paperSize="9" scale="88" orientation="portrait" r:id="rId3"/>
      <headerFooter alignWithMargins="0"/>
    </customSheetView>
    <customSheetView guid="{E5662E33-D4B0-43EA-9B06-C8DA9DFDBEF6}" printArea="1" hiddenRows="1" hiddenColumns="1" showRuler="0">
      <selection activeCell="B9" sqref="B9"/>
      <pageMargins left="0.75" right="0.75" top="1" bottom="1" header="0.5" footer="0.5"/>
      <pageSetup paperSize="9" scale="88" orientation="portrait" r:id="rId4"/>
      <headerFooter alignWithMargins="0"/>
    </customSheetView>
  </customSheetViews>
  <mergeCells count="6">
    <mergeCell ref="A26:B26"/>
    <mergeCell ref="A7:C7"/>
    <mergeCell ref="A1:D1"/>
    <mergeCell ref="A2:D2"/>
    <mergeCell ref="A3:D3"/>
    <mergeCell ref="A4:D4"/>
  </mergeCells>
  <phoneticPr fontId="0" type="noConversion"/>
  <pageMargins left="0.78740157480314965" right="0.78740157480314965" top="0.39370078740157483" bottom="0.39370078740157483" header="0.19685039370078741" footer="0.19685039370078741"/>
  <pageSetup paperSize="9" scale="85" fitToHeight="0" orientation="portrait" r:id="rId5"/>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Лист8"/>
  <dimension ref="A1:E38"/>
  <sheetViews>
    <sheetView showGridLines="0" view="pageBreakPreview" topLeftCell="A22" zoomScaleNormal="100" zoomScaleSheetLayoutView="100" workbookViewId="0">
      <selection activeCell="A35" sqref="A35:E35"/>
    </sheetView>
  </sheetViews>
  <sheetFormatPr defaultColWidth="9.140625" defaultRowHeight="12.75"/>
  <cols>
    <col min="1" max="1" width="27.7109375" style="117" customWidth="1"/>
    <col min="2" max="2" width="18.85546875" style="117" customWidth="1"/>
    <col min="3" max="3" width="9" style="117" bestFit="1" customWidth="1"/>
    <col min="4" max="4" width="13.42578125" style="117" customWidth="1"/>
    <col min="5" max="5" width="14.7109375" style="117" customWidth="1"/>
    <col min="6" max="16384" width="9.140625" style="117"/>
  </cols>
  <sheetData>
    <row r="1" spans="1:5" ht="15.75">
      <c r="A1" s="333" t="s">
        <v>6</v>
      </c>
      <c r="B1" s="333"/>
      <c r="C1" s="333"/>
      <c r="D1" s="375"/>
      <c r="E1" s="375"/>
    </row>
    <row r="2" spans="1:5" ht="15.75">
      <c r="A2" s="333" t="s">
        <v>1052</v>
      </c>
      <c r="B2" s="333"/>
      <c r="C2" s="333"/>
      <c r="D2" s="375"/>
      <c r="E2" s="375"/>
    </row>
    <row r="3" spans="1:5" ht="15.75">
      <c r="A3" s="333" t="s">
        <v>705</v>
      </c>
      <c r="B3" s="333"/>
      <c r="C3" s="333"/>
      <c r="D3" s="375"/>
      <c r="E3" s="375"/>
    </row>
    <row r="4" spans="1:5" ht="15.75">
      <c r="A4" s="333" t="s">
        <v>1213</v>
      </c>
      <c r="B4" s="333"/>
      <c r="C4" s="333"/>
      <c r="D4" s="375"/>
      <c r="E4" s="375"/>
    </row>
    <row r="5" spans="1:5" ht="15.75">
      <c r="A5" s="374"/>
      <c r="B5" s="375"/>
      <c r="C5" s="375"/>
      <c r="D5" s="375"/>
      <c r="E5" s="375"/>
    </row>
    <row r="6" spans="1:5" ht="15.75">
      <c r="A6" s="386" t="s">
        <v>2280</v>
      </c>
      <c r="B6" s="373"/>
      <c r="C6" s="373"/>
      <c r="D6" s="373"/>
      <c r="E6" s="373"/>
    </row>
    <row r="7" spans="1:5" ht="32.25" customHeight="1">
      <c r="A7" s="378" t="s">
        <v>2281</v>
      </c>
      <c r="B7" s="379"/>
      <c r="C7" s="379"/>
      <c r="D7" s="379"/>
      <c r="E7" s="379"/>
    </row>
    <row r="8" spans="1:5" ht="9.75" customHeight="1">
      <c r="A8" s="268"/>
      <c r="B8" s="1"/>
      <c r="C8" s="1"/>
      <c r="D8" s="1"/>
      <c r="E8" s="1"/>
    </row>
    <row r="9" spans="1:5" ht="15.75" hidden="1">
      <c r="A9" s="372"/>
      <c r="B9" s="373"/>
      <c r="C9" s="373"/>
      <c r="D9" s="373"/>
      <c r="E9" s="373"/>
    </row>
    <row r="10" spans="1:5" ht="21" customHeight="1">
      <c r="A10" s="380" t="s">
        <v>2282</v>
      </c>
      <c r="B10" s="379"/>
      <c r="C10" s="379"/>
      <c r="D10" s="379"/>
      <c r="E10" s="379"/>
    </row>
    <row r="11" spans="1:5" ht="16.5" thickBot="1">
      <c r="A11" s="381" t="s">
        <v>2201</v>
      </c>
      <c r="B11" s="382"/>
      <c r="C11" s="382"/>
      <c r="D11" s="382"/>
      <c r="E11" s="382"/>
    </row>
    <row r="12" spans="1:5" ht="16.5" thickBot="1">
      <c r="A12" s="269" t="s">
        <v>2202</v>
      </c>
      <c r="B12" s="358" t="s">
        <v>2203</v>
      </c>
      <c r="C12" s="383"/>
      <c r="D12" s="383"/>
      <c r="E12" s="384"/>
    </row>
    <row r="13" spans="1:5" ht="16.5" thickBot="1">
      <c r="A13" s="159">
        <v>1</v>
      </c>
      <c r="B13" s="358">
        <v>2</v>
      </c>
      <c r="C13" s="383"/>
      <c r="D13" s="383"/>
      <c r="E13" s="384"/>
    </row>
    <row r="14" spans="1:5" ht="32.25" thickBot="1">
      <c r="A14" s="160" t="s">
        <v>2204</v>
      </c>
      <c r="B14" s="385">
        <f>B15-B16</f>
        <v>0</v>
      </c>
      <c r="C14" s="368"/>
      <c r="D14" s="368"/>
      <c r="E14" s="369"/>
    </row>
    <row r="15" spans="1:5" ht="16.5" thickBot="1">
      <c r="A15" s="161" t="s">
        <v>2205</v>
      </c>
      <c r="B15" s="370"/>
      <c r="C15" s="368"/>
      <c r="D15" s="368"/>
      <c r="E15" s="369"/>
    </row>
    <row r="16" spans="1:5" ht="16.5" thickBot="1">
      <c r="A16" s="162" t="s">
        <v>2206</v>
      </c>
      <c r="B16" s="371"/>
      <c r="C16" s="368"/>
      <c r="D16" s="368"/>
      <c r="E16" s="369"/>
    </row>
    <row r="17" spans="1:5" ht="16.5" thickBot="1">
      <c r="A17" s="160" t="s">
        <v>2207</v>
      </c>
      <c r="B17" s="367">
        <f>B18-B19</f>
        <v>8946499</v>
      </c>
      <c r="C17" s="368"/>
      <c r="D17" s="368"/>
      <c r="E17" s="369"/>
    </row>
    <row r="18" spans="1:5" ht="16.5" thickBot="1">
      <c r="A18" s="163" t="s">
        <v>2208</v>
      </c>
      <c r="B18" s="371">
        <v>39000000</v>
      </c>
      <c r="C18" s="368"/>
      <c r="D18" s="368"/>
      <c r="E18" s="369"/>
    </row>
    <row r="19" spans="1:5" ht="16.5" thickBot="1">
      <c r="A19" s="163" t="s">
        <v>2206</v>
      </c>
      <c r="B19" s="371">
        <v>30053501</v>
      </c>
      <c r="C19" s="368"/>
      <c r="D19" s="368"/>
      <c r="E19" s="369"/>
    </row>
    <row r="20" spans="1:5" ht="16.5" thickBot="1">
      <c r="A20" s="164" t="s">
        <v>2209</v>
      </c>
      <c r="B20" s="367">
        <f>B21-B22</f>
        <v>8946499</v>
      </c>
      <c r="C20" s="368"/>
      <c r="D20" s="368"/>
      <c r="E20" s="369"/>
    </row>
    <row r="21" spans="1:5" ht="16.5" thickBot="1">
      <c r="A21" s="165" t="s">
        <v>2210</v>
      </c>
      <c r="B21" s="370">
        <f>B15+B18</f>
        <v>39000000</v>
      </c>
      <c r="C21" s="368"/>
      <c r="D21" s="368"/>
      <c r="E21" s="369"/>
    </row>
    <row r="22" spans="1:5" ht="16.5" thickBot="1">
      <c r="A22" s="165" t="s">
        <v>2211</v>
      </c>
      <c r="B22" s="371">
        <f>B16+B19</f>
        <v>30053501</v>
      </c>
      <c r="C22" s="368"/>
      <c r="D22" s="368"/>
      <c r="E22" s="369"/>
    </row>
    <row r="23" spans="1:5" ht="64.5" customHeight="1" thickBot="1">
      <c r="A23" s="166" t="s">
        <v>2212</v>
      </c>
      <c r="B23" s="367">
        <f>B20</f>
        <v>8946499</v>
      </c>
      <c r="C23" s="368"/>
      <c r="D23" s="368"/>
      <c r="E23" s="369"/>
    </row>
    <row r="24" spans="1:5" ht="15.75">
      <c r="A24" s="372" t="s">
        <v>2283</v>
      </c>
      <c r="B24" s="373"/>
      <c r="C24" s="373"/>
      <c r="D24" s="373"/>
      <c r="E24" s="373"/>
    </row>
    <row r="25" spans="1:5" ht="13.5" customHeight="1" thickBot="1">
      <c r="A25" s="374" t="s">
        <v>2213</v>
      </c>
      <c r="B25" s="375"/>
      <c r="C25" s="375"/>
      <c r="D25" s="375"/>
      <c r="E25" s="375"/>
    </row>
    <row r="26" spans="1:5" ht="16.5" thickBot="1">
      <c r="A26" s="281">
        <v>1</v>
      </c>
      <c r="B26" s="358">
        <v>2</v>
      </c>
      <c r="C26" s="376"/>
      <c r="D26" s="376"/>
      <c r="E26" s="377"/>
    </row>
    <row r="27" spans="1:5" ht="48" thickBot="1">
      <c r="A27" s="167" t="s">
        <v>2284</v>
      </c>
      <c r="B27" s="364">
        <v>39592849</v>
      </c>
      <c r="C27" s="365"/>
      <c r="D27" s="365"/>
      <c r="E27" s="366"/>
    </row>
    <row r="28" spans="1:5" ht="48" thickBot="1">
      <c r="A28" s="167" t="s">
        <v>2285</v>
      </c>
      <c r="B28" s="349">
        <v>1118002</v>
      </c>
      <c r="C28" s="350"/>
      <c r="D28" s="350"/>
      <c r="E28" s="351"/>
    </row>
    <row r="29" spans="1:5" ht="48" thickBot="1">
      <c r="A29" s="254" t="s">
        <v>2286</v>
      </c>
      <c r="B29" s="352">
        <v>39000000</v>
      </c>
      <c r="C29" s="353"/>
      <c r="D29" s="353"/>
      <c r="E29" s="354"/>
    </row>
    <row r="30" spans="1:5" ht="48" customHeight="1" thickBot="1">
      <c r="A30" s="308" t="s">
        <v>2287</v>
      </c>
      <c r="B30" s="355">
        <v>0</v>
      </c>
      <c r="C30" s="356"/>
      <c r="D30" s="356"/>
      <c r="E30" s="356"/>
    </row>
    <row r="31" spans="1:5" ht="30" customHeight="1" thickBot="1">
      <c r="A31" s="357" t="s">
        <v>2304</v>
      </c>
      <c r="B31" s="357"/>
      <c r="C31" s="357"/>
      <c r="D31" s="357"/>
      <c r="E31" s="357"/>
    </row>
    <row r="32" spans="1:5" ht="15.75" customHeight="1" thickBot="1">
      <c r="A32" s="282"/>
      <c r="B32" s="358" t="s">
        <v>2214</v>
      </c>
      <c r="C32" s="359"/>
      <c r="D32" s="360"/>
      <c r="E32" s="267" t="s">
        <v>2215</v>
      </c>
    </row>
    <row r="33" spans="1:5" ht="16.5" hidden="1" thickBot="1">
      <c r="A33" s="266"/>
      <c r="B33" s="278"/>
      <c r="C33" s="279"/>
      <c r="D33" s="280"/>
      <c r="E33" s="267"/>
    </row>
    <row r="34" spans="1:5" ht="32.25" thickBot="1">
      <c r="A34" s="327" t="s">
        <v>2216</v>
      </c>
      <c r="B34" s="361"/>
      <c r="C34" s="362"/>
      <c r="D34" s="363"/>
      <c r="E34" s="328">
        <v>0</v>
      </c>
    </row>
    <row r="35" spans="1:5" ht="16.5" thickBot="1">
      <c r="A35" s="327" t="s">
        <v>2217</v>
      </c>
      <c r="B35" s="361">
        <f>B27</f>
        <v>39592849</v>
      </c>
      <c r="C35" s="362"/>
      <c r="D35" s="363"/>
      <c r="E35" s="328">
        <v>1</v>
      </c>
    </row>
    <row r="36" spans="1:5" ht="32.25" thickBot="1">
      <c r="A36" s="307" t="s">
        <v>2218</v>
      </c>
      <c r="B36" s="343"/>
      <c r="C36" s="343"/>
      <c r="D36" s="343"/>
      <c r="E36" s="169">
        <v>0</v>
      </c>
    </row>
    <row r="37" spans="1:5" ht="32.25" thickBot="1">
      <c r="A37" s="168" t="s">
        <v>2219</v>
      </c>
      <c r="B37" s="344">
        <f>B35</f>
        <v>39592849</v>
      </c>
      <c r="C37" s="345"/>
      <c r="D37" s="346"/>
      <c r="E37" s="309">
        <v>1</v>
      </c>
    </row>
    <row r="38" spans="1:5" ht="15.75">
      <c r="A38" s="347"/>
      <c r="B38" s="348"/>
      <c r="C38" s="348"/>
      <c r="D38" s="348"/>
      <c r="E38" s="348"/>
    </row>
  </sheetData>
  <mergeCells count="36">
    <mergeCell ref="A6:E6"/>
    <mergeCell ref="A1:E1"/>
    <mergeCell ref="A2:E2"/>
    <mergeCell ref="A3:E3"/>
    <mergeCell ref="A4:E4"/>
    <mergeCell ref="A5:E5"/>
    <mergeCell ref="B19:E19"/>
    <mergeCell ref="A7:E7"/>
    <mergeCell ref="A9:E9"/>
    <mergeCell ref="A10:E10"/>
    <mergeCell ref="A11:E11"/>
    <mergeCell ref="B12:E12"/>
    <mergeCell ref="B13:E13"/>
    <mergeCell ref="B14:E14"/>
    <mergeCell ref="B15:E15"/>
    <mergeCell ref="B16:E16"/>
    <mergeCell ref="B17:E17"/>
    <mergeCell ref="B18:E18"/>
    <mergeCell ref="B27:E27"/>
    <mergeCell ref="B20:E20"/>
    <mergeCell ref="B21:E21"/>
    <mergeCell ref="B22:E22"/>
    <mergeCell ref="B23:E23"/>
    <mergeCell ref="A24:E24"/>
    <mergeCell ref="A25:E25"/>
    <mergeCell ref="B26:E26"/>
    <mergeCell ref="B36:D36"/>
    <mergeCell ref="B37:D37"/>
    <mergeCell ref="A38:E38"/>
    <mergeCell ref="B28:E28"/>
    <mergeCell ref="B29:E29"/>
    <mergeCell ref="B30:E30"/>
    <mergeCell ref="A31:E31"/>
    <mergeCell ref="B32:D32"/>
    <mergeCell ref="B34:D34"/>
    <mergeCell ref="B35:D35"/>
  </mergeCells>
  <pageMargins left="0.7" right="0.7" top="0.75" bottom="0.75" header="0.3" footer="0.3"/>
  <pageSetup paperSize="9"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codeName="Лист12">
    <outlinePr summaryBelow="0"/>
    <pageSetUpPr fitToPage="1"/>
  </sheetPr>
  <dimension ref="A1:S846"/>
  <sheetViews>
    <sheetView showGridLines="0" tabSelected="1" view="pageBreakPreview" topLeftCell="A241" zoomScale="90" zoomScaleSheetLayoutView="90" workbookViewId="0">
      <selection activeCell="A252" sqref="A252:G846"/>
    </sheetView>
  </sheetViews>
  <sheetFormatPr defaultColWidth="9.140625" defaultRowHeight="15.75" outlineLevelCol="1"/>
  <cols>
    <col min="1" max="1" width="42.5703125" style="17" customWidth="1"/>
    <col min="2" max="2" width="10.7109375" style="18" customWidth="1"/>
    <col min="3" max="3" width="7.85546875" style="18" customWidth="1"/>
    <col min="4" max="4" width="10.140625" style="18" customWidth="1"/>
    <col min="5" max="5" width="7.7109375" style="18" customWidth="1"/>
    <col min="6" max="6" width="15.7109375" style="101" hidden="1" customWidth="1" outlineLevel="1"/>
    <col min="7" max="7" width="15.5703125" style="75" customWidth="1" collapsed="1"/>
    <col min="8" max="16384" width="9.140625" style="16"/>
  </cols>
  <sheetData>
    <row r="1" spans="1:7">
      <c r="A1" s="387" t="s">
        <v>2305</v>
      </c>
      <c r="B1" s="387"/>
      <c r="C1" s="387"/>
      <c r="D1" s="387"/>
      <c r="E1" s="387"/>
      <c r="F1" s="387"/>
      <c r="G1" s="387"/>
    </row>
    <row r="2" spans="1:7">
      <c r="A2" s="387" t="s">
        <v>1052</v>
      </c>
      <c r="B2" s="387"/>
      <c r="C2" s="387"/>
      <c r="D2" s="387"/>
      <c r="E2" s="387"/>
      <c r="F2" s="387"/>
      <c r="G2" s="387"/>
    </row>
    <row r="3" spans="1:7">
      <c r="A3" s="387" t="s">
        <v>705</v>
      </c>
      <c r="B3" s="387"/>
      <c r="C3" s="387"/>
      <c r="D3" s="387"/>
      <c r="E3" s="387"/>
      <c r="F3" s="387"/>
      <c r="G3" s="387"/>
    </row>
    <row r="4" spans="1:7">
      <c r="A4" s="387" t="s">
        <v>1213</v>
      </c>
      <c r="B4" s="387"/>
      <c r="C4" s="387"/>
      <c r="D4" s="387"/>
      <c r="E4" s="387"/>
      <c r="F4" s="387"/>
      <c r="G4" s="387"/>
    </row>
    <row r="5" spans="1:7">
      <c r="A5" s="213"/>
      <c r="B5" s="214"/>
      <c r="C5" s="214"/>
      <c r="D5" s="214"/>
      <c r="E5" s="214"/>
      <c r="F5" s="215"/>
      <c r="G5" s="216"/>
    </row>
    <row r="6" spans="1:7" ht="35.25" customHeight="1">
      <c r="A6" s="388" t="s">
        <v>2306</v>
      </c>
      <c r="B6" s="388"/>
      <c r="C6" s="388"/>
      <c r="D6" s="388"/>
      <c r="E6" s="388"/>
      <c r="F6" s="388"/>
      <c r="G6" s="388"/>
    </row>
    <row r="7" spans="1:7" ht="6.75" customHeight="1">
      <c r="A7" s="217"/>
      <c r="B7" s="218"/>
      <c r="C7" s="218"/>
      <c r="D7" s="218"/>
      <c r="E7" s="218"/>
      <c r="F7" s="219"/>
      <c r="G7" s="220"/>
    </row>
    <row r="8" spans="1:7" s="19" customFormat="1" ht="47.25">
      <c r="A8" s="223" t="s">
        <v>952</v>
      </c>
      <c r="B8" s="224" t="s">
        <v>1325</v>
      </c>
      <c r="C8" s="224" t="s">
        <v>1443</v>
      </c>
      <c r="D8" s="224" t="s">
        <v>1444</v>
      </c>
      <c r="E8" s="224" t="s">
        <v>1445</v>
      </c>
      <c r="F8" s="225" t="s">
        <v>2288</v>
      </c>
      <c r="G8" s="225" t="s">
        <v>2276</v>
      </c>
    </row>
    <row r="9" spans="1:7" s="20" customFormat="1" ht="31.5">
      <c r="A9" s="226" t="str">
        <f>IF(B9&gt;0,VLOOKUP(B9,КВСР!A1:B1166,2),IF(C9&gt;0,VLOOKUP(C9,КФСР!A1:B1513,2),IF(D9&gt;0,VLOOKUP(D9,КЦСР!A1:B3994,2),IF(E9&gt;0,VLOOKUP(E9,КВР!A1:B1932,2)))))</f>
        <v>Администрация Тутаевского муниципального района</v>
      </c>
      <c r="B9" s="227">
        <v>950</v>
      </c>
      <c r="C9" s="228"/>
      <c r="D9" s="229"/>
      <c r="E9" s="230"/>
      <c r="F9" s="222">
        <v>193381022.27000001</v>
      </c>
      <c r="G9" s="222">
        <f>G10+G14+G24+G28+G32+G56+G65+G70+G81+G96+G118+G122+G126</f>
        <v>102806794</v>
      </c>
    </row>
    <row r="10" spans="1:7" s="20" customFormat="1" ht="63">
      <c r="A10" s="231" t="str">
        <f>IF(B10&gt;0,VLOOKUP(B10,КВСР!A2:B1167,2),IF(C10&gt;0,VLOOKUP(C10,КФСР!A2:B1514,2),IF(D10&gt;0,VLOOKUP(D10,КЦСР!A2:B3995,2),IF(E10&gt;0,VLOOKUP(E10,КВР!A2:B1933,2)))))</f>
        <v>Функционирование высшего должностного лица субъекта Российской Федерации и муниципального образования</v>
      </c>
      <c r="B10" s="232"/>
      <c r="C10" s="228">
        <v>102</v>
      </c>
      <c r="D10" s="229"/>
      <c r="E10" s="230"/>
      <c r="F10" s="221">
        <v>1342842</v>
      </c>
      <c r="G10" s="221">
        <f t="shared" ref="G10:G11" si="0">G11</f>
        <v>1342840</v>
      </c>
    </row>
    <row r="11" spans="1:7" s="20" customFormat="1" ht="78.75">
      <c r="A11" s="231" t="str">
        <f>IF(B11&gt;0,VLOOKUP(B11,КВСР!A3:B1168,2),IF(C11&gt;0,VLOOKUP(C11,КФСР!A3:B1515,2),IF(D11&gt;0,VLOOKUP(D11,КЦСР!A3:B3996,2),IF(E11&gt;0,VLOOKUP(E11,КВР!A3:B1934,2)))))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11" s="232"/>
      <c r="C11" s="228"/>
      <c r="D11" s="229">
        <v>20000</v>
      </c>
      <c r="E11" s="230"/>
      <c r="F11" s="221">
        <v>1342842</v>
      </c>
      <c r="G11" s="221">
        <f t="shared" si="0"/>
        <v>1342840</v>
      </c>
    </row>
    <row r="12" spans="1:7" s="20" customFormat="1">
      <c r="A12" s="231" t="str">
        <f>IF(B12&gt;0,VLOOKUP(B12,КВСР!A4:B1169,2),IF(C12&gt;0,VLOOKUP(C12,КФСР!A4:B1516,2),IF(D12&gt;0,VLOOKUP(D12,КЦСР!A4:B3997,2),IF(E12&gt;0,VLOOKUP(E12,КВР!A4:B1935,2)))))</f>
        <v>Глава муниципального образования</v>
      </c>
      <c r="B12" s="232"/>
      <c r="C12" s="228"/>
      <c r="D12" s="229">
        <v>20300</v>
      </c>
      <c r="E12" s="230"/>
      <c r="F12" s="221">
        <v>1342842</v>
      </c>
      <c r="G12" s="221">
        <f>G13</f>
        <v>1342840</v>
      </c>
    </row>
    <row r="13" spans="1:7" s="20" customFormat="1" ht="19.5" customHeight="1">
      <c r="A13" s="231" t="str">
        <f>IF(B13&gt;0,VLOOKUP(B13,КВСР!A5:B1170,2),IF(C13&gt;0,VLOOKUP(C13,КФСР!A5:B1517,2),IF(D13&gt;0,VLOOKUP(D13,КЦСР!A5:B3998,2),IF(E13&gt;0,VLOOKUP(E13,КВР!A5:B1936,2)))))</f>
        <v>Фонд оплаты труда и страховые взносы</v>
      </c>
      <c r="B13" s="232"/>
      <c r="C13" s="228"/>
      <c r="D13" s="229"/>
      <c r="E13" s="230">
        <v>121</v>
      </c>
      <c r="F13" s="221">
        <v>1342842</v>
      </c>
      <c r="G13" s="221">
        <v>1342840</v>
      </c>
    </row>
    <row r="14" spans="1:7" s="20" customFormat="1" ht="94.5">
      <c r="A14" s="231" t="str">
        <f>IF(B14&gt;0,VLOOKUP(B14,КВСР!A6:B1171,2),IF(C14&gt;0,VLOOKUP(C14,КФСР!A6:B1518,2),IF(D14&gt;0,VLOOKUP(D14,КЦСР!A6:B3999,2),IF(E14&gt;0,VLOOKUP(E14,КВР!A6:B1937,2)))))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4" s="233"/>
      <c r="C14" s="234">
        <v>104</v>
      </c>
      <c r="D14" s="235"/>
      <c r="E14" s="236"/>
      <c r="F14" s="221">
        <v>28575415</v>
      </c>
      <c r="G14" s="221">
        <f>G15</f>
        <v>28441625</v>
      </c>
    </row>
    <row r="15" spans="1:7" s="20" customFormat="1" ht="78.75">
      <c r="A15" s="231" t="str">
        <f>IF(B15&gt;0,VLOOKUP(B15,КВСР!A7:B1172,2),IF(C15&gt;0,VLOOKUP(C15,КФСР!A7:B1519,2),IF(D15&gt;0,VLOOKUP(D15,КЦСР!A7:B4000,2),IF(E15&gt;0,VLOOKUP(E15,КВР!A7:B1938,2)))))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15" s="233"/>
      <c r="C15" s="234"/>
      <c r="D15" s="235">
        <v>20000</v>
      </c>
      <c r="E15" s="236"/>
      <c r="F15" s="221">
        <v>28575415</v>
      </c>
      <c r="G15" s="221">
        <f>G16</f>
        <v>28441625</v>
      </c>
    </row>
    <row r="16" spans="1:7" s="20" customFormat="1">
      <c r="A16" s="231" t="str">
        <f>IF(B16&gt;0,VLOOKUP(B16,КВСР!A8:B1173,2),IF(C16&gt;0,VLOOKUP(C16,КФСР!A8:B1520,2),IF(D16&gt;0,VLOOKUP(D16,КЦСР!A8:B4001,2),IF(E16&gt;0,VLOOKUP(E16,КВР!A8:B1939,2)))))</f>
        <v>Центральный аппарат</v>
      </c>
      <c r="B16" s="233"/>
      <c r="C16" s="234"/>
      <c r="D16" s="229">
        <v>20400</v>
      </c>
      <c r="E16" s="236"/>
      <c r="F16" s="221">
        <v>28575415</v>
      </c>
      <c r="G16" s="221">
        <f>SUM(G17:G23)</f>
        <v>28441625</v>
      </c>
    </row>
    <row r="17" spans="1:7" s="20" customFormat="1" ht="18" customHeight="1">
      <c r="A17" s="231" t="str">
        <f>IF(B17&gt;0,VLOOKUP(B17,КВСР!A9:B1174,2),IF(C17&gt;0,VLOOKUP(C17,КФСР!A9:B1521,2),IF(D17&gt;0,VLOOKUP(D17,КЦСР!A9:B4002,2),IF(E17&gt;0,VLOOKUP(E17,КВР!A9:B1940,2)))))</f>
        <v>Фонд оплаты труда и страховые взносы</v>
      </c>
      <c r="B17" s="233"/>
      <c r="C17" s="234"/>
      <c r="D17" s="235"/>
      <c r="E17" s="236">
        <v>121</v>
      </c>
      <c r="F17" s="221">
        <v>22800430</v>
      </c>
      <c r="G17" s="221">
        <v>22684057</v>
      </c>
    </row>
    <row r="18" spans="1:7" s="20" customFormat="1" ht="31.5">
      <c r="A18" s="231" t="str">
        <f>IF(B18&gt;0,VLOOKUP(B18,КВСР!A10:B1175,2),IF(C18&gt;0,VLOOKUP(C18,КФСР!A10:B1522,2),IF(D18&gt;0,VLOOKUP(D18,КЦСР!A10:B4003,2),IF(E18&gt;0,VLOOKUP(E18,КВР!A10:B1941,2)))))</f>
        <v>Иные выплаты персоналу, за исключением фонда оплаты труда</v>
      </c>
      <c r="B18" s="233"/>
      <c r="C18" s="234"/>
      <c r="D18" s="235"/>
      <c r="E18" s="236">
        <v>122</v>
      </c>
      <c r="F18" s="221">
        <v>3410</v>
      </c>
      <c r="G18" s="221">
        <v>3410</v>
      </c>
    </row>
    <row r="19" spans="1:7" s="20" customFormat="1" ht="30.75" customHeight="1">
      <c r="A19" s="231" t="str">
        <f>IF(B19&gt;0,VLOOKUP(B19,КВСР!A11:B1176,2),IF(C19&gt;0,VLOOKUP(C19,КФСР!A11:B1523,2),IF(D19&gt;0,VLOOKUP(D19,КЦСР!A11:B4004,2),IF(E19&gt;0,VLOOKUP(E19,КВР!A11:B1942,2)))))</f>
        <v>Закупка товаров, работ, услуг в сфере информационно-коммуникационных технологий</v>
      </c>
      <c r="B19" s="233"/>
      <c r="C19" s="234"/>
      <c r="D19" s="235"/>
      <c r="E19" s="236">
        <v>242</v>
      </c>
      <c r="F19" s="221">
        <v>1049095</v>
      </c>
      <c r="G19" s="221">
        <v>1045358</v>
      </c>
    </row>
    <row r="20" spans="1:7" s="20" customFormat="1" ht="30.75" customHeight="1">
      <c r="A20" s="231" t="str">
        <f>IF(B20&gt;0,VLOOKUP(B20,КВСР!A12:B1177,2),IF(C20&gt;0,VLOOKUP(C20,КФСР!A12:B1524,2),IF(D20&gt;0,VLOOKUP(D20,КЦСР!A12:B4005,2),IF(E20&gt;0,VLOOKUP(E20,КВР!A12:B1943,2)))))</f>
        <v>Прочая закупка товаров, работ и услуг для государственных нужд</v>
      </c>
      <c r="B20" s="233"/>
      <c r="C20" s="234"/>
      <c r="D20" s="235"/>
      <c r="E20" s="236">
        <v>244</v>
      </c>
      <c r="F20" s="221">
        <v>3978841</v>
      </c>
      <c r="G20" s="221">
        <v>3966142</v>
      </c>
    </row>
    <row r="21" spans="1:7" s="20" customFormat="1" ht="160.5" customHeight="1">
      <c r="A21" s="231" t="str">
        <f>IF(B21&gt;0,VLOOKUP(B21,КВСР!A13:B1178,2),IF(C21&gt;0,VLOOKUP(C21,КФСР!A13:B1525,2),IF(D21&gt;0,VLOOKUP(D21,КЦСР!A13:B4006,2),IF(E21&gt;0,VLOOKUP(E21,КВР!A13:B1944,2)))))</f>
        <v>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v>
      </c>
      <c r="B21" s="233"/>
      <c r="C21" s="234"/>
      <c r="D21" s="235"/>
      <c r="E21" s="236">
        <v>831</v>
      </c>
      <c r="F21" s="221">
        <v>185000</v>
      </c>
      <c r="G21" s="221">
        <v>185000</v>
      </c>
    </row>
    <row r="22" spans="1:7" s="20" customFormat="1" ht="31.5">
      <c r="A22" s="231" t="str">
        <f>IF(B22&gt;0,VLOOKUP(B22,КВСР!A14:B1179,2),IF(C22&gt;0,VLOOKUP(C22,КФСР!A14:B1526,2),IF(D22&gt;0,VLOOKUP(D22,КЦСР!A14:B4007,2),IF(E22&gt;0,VLOOKUP(E22,КВР!A14:B1945,2)))))</f>
        <v>Уплата налога на имущество организаций и земельного налога</v>
      </c>
      <c r="B22" s="233"/>
      <c r="C22" s="234"/>
      <c r="D22" s="235"/>
      <c r="E22" s="236">
        <v>851</v>
      </c>
      <c r="F22" s="221">
        <v>416139</v>
      </c>
      <c r="G22" s="221">
        <v>416139</v>
      </c>
    </row>
    <row r="23" spans="1:7" s="20" customFormat="1" ht="31.5">
      <c r="A23" s="231" t="str">
        <f>IF(B23&gt;0,VLOOKUP(B23,КВСР!A15:B1180,2),IF(C23&gt;0,VLOOKUP(C23,КФСР!A15:B1527,2),IF(D23&gt;0,VLOOKUP(D23,КЦСР!A15:B4008,2),IF(E23&gt;0,VLOOKUP(E23,КВР!A15:B1946,2)))))</f>
        <v>Уплата прочих налогов, сборов и иных обязательных платежей</v>
      </c>
      <c r="B23" s="233"/>
      <c r="C23" s="234"/>
      <c r="D23" s="235"/>
      <c r="E23" s="236">
        <v>852</v>
      </c>
      <c r="F23" s="221">
        <v>142500</v>
      </c>
      <c r="G23" s="221">
        <v>141519</v>
      </c>
    </row>
    <row r="24" spans="1:7" s="20" customFormat="1" ht="31.5">
      <c r="A24" s="231" t="str">
        <f>IF(B24&gt;0,VLOOKUP(B24,КВСР!A16:B1181,2),IF(C24&gt;0,VLOOKUP(C24,КФСР!A16:B1528,2),IF(D24&gt;0,VLOOKUP(D24,КЦСР!A16:B4009,2),IF(E24&gt;0,VLOOKUP(E24,КВР!A16:B1947,2)))))</f>
        <v>Обеспечение проведения выборов и референдумов</v>
      </c>
      <c r="B24" s="233"/>
      <c r="C24" s="234">
        <v>107</v>
      </c>
      <c r="D24" s="235"/>
      <c r="E24" s="236"/>
      <c r="F24" s="221">
        <v>586688</v>
      </c>
      <c r="G24" s="221">
        <f>G25</f>
        <v>586688</v>
      </c>
    </row>
    <row r="25" spans="1:7" s="20" customFormat="1">
      <c r="A25" s="231" t="str">
        <f>IF(B25&gt;0,VLOOKUP(B25,КВСР!A17:B1182,2),IF(C25&gt;0,VLOOKUP(C25,КФСР!A17:B1529,2),IF(D25&gt;0,VLOOKUP(D25,КЦСР!A17:B4010,2),IF(E25&gt;0,VLOOKUP(E25,КВР!A17:B1948,2)))))</f>
        <v>Проведение выборов и референдумов</v>
      </c>
      <c r="B25" s="233"/>
      <c r="C25" s="234"/>
      <c r="D25" s="235">
        <v>200000</v>
      </c>
      <c r="E25" s="236"/>
      <c r="F25" s="221">
        <v>586688</v>
      </c>
      <c r="G25" s="221">
        <f>G26</f>
        <v>586688</v>
      </c>
    </row>
    <row r="26" spans="1:7" s="20" customFormat="1" ht="47.25">
      <c r="A26" s="231" t="str">
        <f>IF(B26&gt;0,VLOOKUP(B26,КВСР!A18:B1183,2),IF(C26&gt;0,VLOOKUP(C26,КФСР!A18:B1530,2),IF(D26&gt;0,VLOOKUP(D26,КЦСР!A18:B4011,2),IF(E26&gt;0,VLOOKUP(E26,КВР!A18:B1949,2)))))</f>
        <v>Проведение выборов в представительные органы муниципального образования</v>
      </c>
      <c r="B26" s="233"/>
      <c r="C26" s="234"/>
      <c r="D26" s="235">
        <v>200002</v>
      </c>
      <c r="E26" s="236"/>
      <c r="F26" s="221">
        <v>586688</v>
      </c>
      <c r="G26" s="221">
        <f>G27</f>
        <v>586688</v>
      </c>
    </row>
    <row r="27" spans="1:7" s="20" customFormat="1" ht="31.5">
      <c r="A27" s="231" t="str">
        <f>IF(B27&gt;0,VLOOKUP(B27,КВСР!A19:B1184,2),IF(C27&gt;0,VLOOKUP(C27,КФСР!A19:B1531,2),IF(D27&gt;0,VLOOKUP(D27,КЦСР!A19:B4012,2),IF(E27&gt;0,VLOOKUP(E27,КВР!A19:B1950,2)))))</f>
        <v>Прочая закупка товаров, работ и услуг для государственных нужд</v>
      </c>
      <c r="B27" s="233"/>
      <c r="C27" s="234"/>
      <c r="D27" s="235"/>
      <c r="E27" s="236">
        <v>244</v>
      </c>
      <c r="F27" s="221">
        <v>586688</v>
      </c>
      <c r="G27" s="221">
        <v>586688</v>
      </c>
    </row>
    <row r="28" spans="1:7" s="20" customFormat="1">
      <c r="A28" s="231" t="str">
        <f>IF(B28&gt;0,VLOOKUP(B28,КВСР!A20:B1185,2),IF(C28&gt;0,VLOOKUP(C28,КФСР!A20:B1532,2),IF(D28&gt;0,VLOOKUP(D28,КЦСР!A20:B4013,2),IF(E28&gt;0,VLOOKUP(E28,КВР!A20:B1951,2)))))</f>
        <v>Резервные фонды</v>
      </c>
      <c r="B28" s="233"/>
      <c r="C28" s="234">
        <v>111</v>
      </c>
      <c r="D28" s="235"/>
      <c r="E28" s="236"/>
      <c r="F28" s="221">
        <v>780530</v>
      </c>
      <c r="G28" s="221">
        <f>G29</f>
        <v>395107</v>
      </c>
    </row>
    <row r="29" spans="1:7" s="20" customFormat="1">
      <c r="A29" s="231" t="str">
        <f>IF(B29&gt;0,VLOOKUP(B29,КВСР!A21:B1186,2),IF(C29&gt;0,VLOOKUP(C29,КФСР!A21:B1533,2),IF(D29&gt;0,VLOOKUP(D29,КЦСР!A21:B4014,2),IF(E29&gt;0,VLOOKUP(E29,КВР!A21:B1952,2)))))</f>
        <v>Резервные фонды</v>
      </c>
      <c r="B29" s="233"/>
      <c r="C29" s="234"/>
      <c r="D29" s="235">
        <v>700000</v>
      </c>
      <c r="E29" s="236"/>
      <c r="F29" s="221">
        <v>780530</v>
      </c>
      <c r="G29" s="221">
        <f>G30</f>
        <v>395107</v>
      </c>
    </row>
    <row r="30" spans="1:7" s="20" customFormat="1" ht="31.5">
      <c r="A30" s="231" t="str">
        <f>IF(B30&gt;0,VLOOKUP(B30,КВСР!A22:B1187,2),IF(C30&gt;0,VLOOKUP(C30,КФСР!A22:B1534,2),IF(D30&gt;0,VLOOKUP(D30,КЦСР!A22:B4015,2),IF(E30&gt;0,VLOOKUP(E30,КВР!A22:B1953,2)))))</f>
        <v>Резервные фонды местных администраций</v>
      </c>
      <c r="B30" s="233"/>
      <c r="C30" s="234"/>
      <c r="D30" s="235">
        <v>700500</v>
      </c>
      <c r="E30" s="236"/>
      <c r="F30" s="221">
        <v>780530</v>
      </c>
      <c r="G30" s="221">
        <f>G31</f>
        <v>395107</v>
      </c>
    </row>
    <row r="31" spans="1:7" s="20" customFormat="1">
      <c r="A31" s="231" t="str">
        <f>IF(B31&gt;0,VLOOKUP(B31,КВСР!A23:B1188,2),IF(C31&gt;0,VLOOKUP(C31,КФСР!A23:B1535,2),IF(D31&gt;0,VLOOKUP(D31,КЦСР!A23:B4016,2),IF(E31&gt;0,VLOOKUP(E31,КВР!A23:B1954,2)))))</f>
        <v>Резервные средства</v>
      </c>
      <c r="B31" s="233"/>
      <c r="C31" s="234"/>
      <c r="D31" s="235"/>
      <c r="E31" s="236">
        <v>870</v>
      </c>
      <c r="F31" s="221">
        <v>780530</v>
      </c>
      <c r="G31" s="221">
        <v>395107</v>
      </c>
    </row>
    <row r="32" spans="1:7" s="20" customFormat="1" ht="17.25" customHeight="1">
      <c r="A32" s="231" t="str">
        <f>IF(B32&gt;0,VLOOKUP(B32,КВСР!A24:B1189,2),IF(C32&gt;0,VLOOKUP(C32,КФСР!A24:B1536,2),IF(D32&gt;0,VLOOKUP(D32,КЦСР!A24:B4017,2),IF(E32&gt;0,VLOOKUP(E32,КВР!A24:B1955,2)))))</f>
        <v>Другие общегосударственные вопросы</v>
      </c>
      <c r="B32" s="233"/>
      <c r="C32" s="234">
        <v>113</v>
      </c>
      <c r="D32" s="235"/>
      <c r="E32" s="236"/>
      <c r="F32" s="221">
        <v>4222890</v>
      </c>
      <c r="G32" s="221">
        <f>G34+G39+G44+G48+G51+G54</f>
        <v>3972229</v>
      </c>
    </row>
    <row r="33" spans="1:7" s="20" customFormat="1" ht="78.75">
      <c r="A33" s="231" t="str">
        <f>IF(B33&gt;0,VLOOKUP(B33,КВСР!A25:B1190,2),IF(C33&gt;0,VLOOKUP(C33,КФСР!A25:B1537,2),IF(D33&gt;0,VLOOKUP(D33,КЦСР!A25:B4018,2),IF(E33&gt;0,VLOOKUP(E33,КВР!A25:B1956,2)))))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33" s="233"/>
      <c r="C33" s="234"/>
      <c r="D33" s="235">
        <v>20000</v>
      </c>
      <c r="E33" s="236"/>
      <c r="F33" s="221">
        <v>2260068</v>
      </c>
      <c r="G33" s="221">
        <f>G34</f>
        <v>2260068</v>
      </c>
    </row>
    <row r="34" spans="1:7" s="20" customFormat="1">
      <c r="A34" s="231" t="str">
        <f>IF(B34&gt;0,VLOOKUP(B34,КВСР!A26:B1191,2),IF(C34&gt;0,VLOOKUP(C34,КФСР!A26:B1538,2),IF(D34&gt;0,VLOOKUP(D34,КЦСР!A26:B4019,2),IF(E34&gt;0,VLOOKUP(E34,КВР!A26:B1957,2)))))</f>
        <v>Центральный аппарат</v>
      </c>
      <c r="B34" s="233"/>
      <c r="C34" s="234"/>
      <c r="D34" s="235">
        <v>20400</v>
      </c>
      <c r="E34" s="236"/>
      <c r="F34" s="221">
        <v>2260068</v>
      </c>
      <c r="G34" s="221">
        <f>SUM(G35:G38)</f>
        <v>2260068</v>
      </c>
    </row>
    <row r="35" spans="1:7" s="20" customFormat="1" ht="22.5" customHeight="1">
      <c r="A35" s="231" t="str">
        <f>IF(B35&gt;0,VLOOKUP(B35,КВСР!A27:B1192,2),IF(C35&gt;0,VLOOKUP(C35,КФСР!A27:B1539,2),IF(D35&gt;0,VLOOKUP(D35,КЦСР!A27:B4020,2),IF(E35&gt;0,VLOOKUP(E35,КВР!A27:B1958,2)))))</f>
        <v>Фонд оплаты труда и страховые взносы</v>
      </c>
      <c r="B35" s="233"/>
      <c r="C35" s="234"/>
      <c r="D35" s="235"/>
      <c r="E35" s="236">
        <v>121</v>
      </c>
      <c r="F35" s="221">
        <v>1663745</v>
      </c>
      <c r="G35" s="221">
        <v>1663745</v>
      </c>
    </row>
    <row r="36" spans="1:7" s="20" customFormat="1" ht="31.5">
      <c r="A36" s="231" t="str">
        <f>IF(B36&gt;0,VLOOKUP(B36,КВСР!A28:B1193,2),IF(C36&gt;0,VLOOKUP(C36,КФСР!A28:B1540,2),IF(D36&gt;0,VLOOKUP(D36,КЦСР!A28:B4021,2),IF(E36&gt;0,VLOOKUP(E36,КВР!A28:B1959,2)))))</f>
        <v>Иные выплаты персоналу, за исключением фонда оплаты труда</v>
      </c>
      <c r="B36" s="233"/>
      <c r="C36" s="234"/>
      <c r="D36" s="235"/>
      <c r="E36" s="236">
        <v>122</v>
      </c>
      <c r="F36" s="221">
        <v>450</v>
      </c>
      <c r="G36" s="221">
        <v>450</v>
      </c>
    </row>
    <row r="37" spans="1:7" s="20" customFormat="1" ht="47.25">
      <c r="A37" s="231" t="str">
        <f>IF(B37&gt;0,VLOOKUP(B37,КВСР!A29:B1194,2),IF(C37&gt;0,VLOOKUP(C37,КФСР!A29:B1541,2),IF(D37&gt;0,VLOOKUP(D37,КЦСР!A29:B4022,2),IF(E37&gt;0,VLOOKUP(E37,КВР!A29:B1960,2)))))</f>
        <v>Закупка товаров, работ, услуг в сфере информационно-коммуникационных технологий</v>
      </c>
      <c r="B37" s="233"/>
      <c r="C37" s="234"/>
      <c r="D37" s="235"/>
      <c r="E37" s="236">
        <v>242</v>
      </c>
      <c r="F37" s="221">
        <v>335429</v>
      </c>
      <c r="G37" s="221">
        <v>335429</v>
      </c>
    </row>
    <row r="38" spans="1:7" s="20" customFormat="1" ht="31.5">
      <c r="A38" s="231" t="str">
        <f>IF(B38&gt;0,VLOOKUP(B38,КВСР!A30:B1195,2),IF(C38&gt;0,VLOOKUP(C38,КФСР!A30:B1542,2),IF(D38&gt;0,VLOOKUP(D38,КЦСР!A30:B4023,2),IF(E38&gt;0,VLOOKUP(E38,КВР!A30:B1961,2)))))</f>
        <v>Прочая закупка товаров, работ и услуг для государственных нужд</v>
      </c>
      <c r="B38" s="233"/>
      <c r="C38" s="234"/>
      <c r="D38" s="235"/>
      <c r="E38" s="236">
        <v>244</v>
      </c>
      <c r="F38" s="221">
        <v>260444</v>
      </c>
      <c r="G38" s="221">
        <v>260444</v>
      </c>
    </row>
    <row r="39" spans="1:7" s="20" customFormat="1" ht="47.25">
      <c r="A39" s="231" t="str">
        <f>IF(B39&gt;0,VLOOKUP(B39,КВСР!A31:B1196,2),IF(C39&gt;0,VLOOKUP(C39,КФСР!A31:B1543,2),IF(D39&gt;0,VLOOKUP(D39,КЦСР!A31:B4024,2),IF(E39&gt;0,VLOOKUP(E39,КВР!A31:B1962,2)))))</f>
        <v>Реализация государственных функций, связанных с общегосударственным управлением</v>
      </c>
      <c r="B39" s="233"/>
      <c r="C39" s="234"/>
      <c r="D39" s="235">
        <v>920000</v>
      </c>
      <c r="E39" s="236"/>
      <c r="F39" s="221">
        <v>1204131</v>
      </c>
      <c r="G39" s="221">
        <f>G40</f>
        <v>1187261</v>
      </c>
    </row>
    <row r="40" spans="1:7" s="20" customFormat="1" ht="31.5">
      <c r="A40" s="231" t="str">
        <f>IF(B40&gt;0,VLOOKUP(B40,КВСР!A32:B1197,2),IF(C40&gt;0,VLOOKUP(C40,КФСР!A32:B1544,2),IF(D40&gt;0,VLOOKUP(D40,КЦСР!A32:B4025,2),IF(E40&gt;0,VLOOKUP(E40,КВР!A32:B1963,2)))))</f>
        <v>Выполнение других обязательств государства</v>
      </c>
      <c r="B40" s="233"/>
      <c r="C40" s="234"/>
      <c r="D40" s="235">
        <v>920300</v>
      </c>
      <c r="E40" s="236"/>
      <c r="F40" s="221">
        <v>1204131</v>
      </c>
      <c r="G40" s="221">
        <f>G41</f>
        <v>1187261</v>
      </c>
    </row>
    <row r="41" spans="1:7" s="20" customFormat="1" ht="157.5">
      <c r="A41" s="231" t="str">
        <f>IF(B41&gt;0,VLOOKUP(B41,КВСР!A33:B1198,2),IF(C41&gt;0,VLOOKUP(C41,КФСР!A33:B1545,2),IF(D41&gt;0,VLOOKUP(D41,КЦСР!A33:B4026,2),IF(E41&gt;0,VLOOKUP(E41,КВР!A33:B1964,2)))))</f>
        <v>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v>
      </c>
      <c r="B41" s="233"/>
      <c r="C41" s="234"/>
      <c r="D41" s="235"/>
      <c r="E41" s="236">
        <v>831</v>
      </c>
      <c r="F41" s="221">
        <v>1204131</v>
      </c>
      <c r="G41" s="221">
        <v>1187261</v>
      </c>
    </row>
    <row r="42" spans="1:7" s="20" customFormat="1" ht="31.5">
      <c r="A42" s="231" t="str">
        <f>IF(B42&gt;0,VLOOKUP(B42,КВСР!A34:B1199,2),IF(C42&gt;0,VLOOKUP(C42,КФСР!A34:B1546,2),IF(D42&gt;0,VLOOKUP(D42,КЦСР!A34:B4027,2),IF(E42&gt;0,VLOOKUP(E42,КВР!A34:B1965,2)))))</f>
        <v>Иные безвозмездные и безвозвратные перечисления</v>
      </c>
      <c r="B42" s="233"/>
      <c r="C42" s="234"/>
      <c r="D42" s="235">
        <v>5200000</v>
      </c>
      <c r="E42" s="236"/>
      <c r="F42" s="221">
        <v>68481</v>
      </c>
      <c r="G42" s="221">
        <f>G43</f>
        <v>68481</v>
      </c>
    </row>
    <row r="43" spans="1:7" s="20" customFormat="1" ht="47.25">
      <c r="A43" s="231" t="str">
        <f>IF(B43&gt;0,VLOOKUP(B43,КВСР!A35:B1200,2),IF(C43&gt;0,VLOOKUP(C43,КФСР!A35:B1547,2),IF(D43&gt;0,VLOOKUP(D43,КЦСР!A35:B4028,2),IF(E43&gt;0,VLOOKUP(E43,КВР!A35:B1966,2)))))</f>
        <v>Реализация региональных программ повышения эффективности бюджетных расходов</v>
      </c>
      <c r="B43" s="233"/>
      <c r="C43" s="234"/>
      <c r="D43" s="235">
        <v>5202400</v>
      </c>
      <c r="E43" s="236"/>
      <c r="F43" s="221">
        <v>68481</v>
      </c>
      <c r="G43" s="221">
        <f>G44</f>
        <v>68481</v>
      </c>
    </row>
    <row r="44" spans="1:7" s="20" customFormat="1" ht="47.25">
      <c r="A44" s="231" t="str">
        <f>IF(B44&gt;0,VLOOKUP(B44,КВСР!A36:B1201,2),IF(C44&gt;0,VLOOKUP(C44,КФСР!A36:B1548,2),IF(D44&gt;0,VLOOKUP(D44,КЦСР!A36:B4029,2),IF(E44&gt;0,VLOOKUP(E44,КВР!A36:B1967,2)))))</f>
        <v>Реализация муниципальной программы "Повышение эффективности бюджетных расходов"</v>
      </c>
      <c r="B44" s="233"/>
      <c r="C44" s="234"/>
      <c r="D44" s="235">
        <v>5202402</v>
      </c>
      <c r="E44" s="236"/>
      <c r="F44" s="221">
        <v>68481</v>
      </c>
      <c r="G44" s="221">
        <f>G45</f>
        <v>68481</v>
      </c>
    </row>
    <row r="45" spans="1:7" s="20" customFormat="1" ht="31.5">
      <c r="A45" s="231" t="str">
        <f>IF(B45&gt;0,VLOOKUP(B45,КВСР!A37:B1202,2),IF(C45&gt;0,VLOOKUP(C45,КФСР!A37:B1549,2),IF(D45&gt;0,VLOOKUP(D45,КЦСР!A37:B4030,2),IF(E45&gt;0,VLOOKUP(E45,КВР!A37:B1968,2)))))</f>
        <v>Фонд оплаты труда и страховые взносы</v>
      </c>
      <c r="B45" s="233"/>
      <c r="C45" s="234"/>
      <c r="D45" s="235"/>
      <c r="E45" s="236">
        <v>121</v>
      </c>
      <c r="F45" s="221">
        <v>68481</v>
      </c>
      <c r="G45" s="221">
        <v>68481</v>
      </c>
    </row>
    <row r="46" spans="1:7" s="20" customFormat="1">
      <c r="A46" s="231" t="str">
        <f>IF(B46&gt;0,VLOOKUP(B46,КВСР!A38:B1203,2),IF(C46&gt;0,VLOOKUP(C46,КФСР!A38:B1550,2),IF(D46&gt;0,VLOOKUP(D46,КЦСР!A38:B4031,2),IF(E46&gt;0,VLOOKUP(E46,КВР!A38:B1969,2)))))</f>
        <v>Региональные целевые программы</v>
      </c>
      <c r="B46" s="233"/>
      <c r="C46" s="234"/>
      <c r="D46" s="235">
        <v>5220000</v>
      </c>
      <c r="E46" s="236"/>
      <c r="F46" s="221">
        <v>290210</v>
      </c>
      <c r="G46" s="221">
        <f>G47</f>
        <v>240000</v>
      </c>
    </row>
    <row r="47" spans="1:7" s="20" customFormat="1" ht="82.5" customHeight="1">
      <c r="A47" s="231" t="str">
        <f>IF(B47&gt;0,VLOOKUP(B47,КВСР!A39:B1204,2),IF(C47&gt;0,VLOOKUP(C47,КФСР!A39:B1551,2),IF(D47&gt;0,VLOOKUP(D47,КЦСР!A39:B4032,2),IF(E47&gt;0,VLOOKUP(E47,КВР!A39:B1970,2)))))</f>
        <v xml:space="preserve">Областная целевая программа "Снижение административных барьеров, оптимизация и повышение качества предоставления государственных и муниципальных услуг" </v>
      </c>
      <c r="B47" s="233"/>
      <c r="C47" s="234"/>
      <c r="D47" s="235">
        <v>5225100</v>
      </c>
      <c r="E47" s="236"/>
      <c r="F47" s="221">
        <v>240000</v>
      </c>
      <c r="G47" s="221">
        <f>G48</f>
        <v>240000</v>
      </c>
    </row>
    <row r="48" spans="1:7" s="20" customFormat="1" ht="52.5" customHeight="1">
      <c r="A48" s="231" t="str">
        <f>IF(B48&gt;0,VLOOKUP(B48,КВСР!A40:B1205,2),IF(C48&gt;0,VLOOKUP(C48,КФСР!A40:B1552,2),IF(D48&gt;0,VLOOKUP(D48,КЦСР!A40:B4033,2),IF(E48&gt;0,VLOOKUP(E48,КВР!A40:B1971,2)))))</f>
        <v>Реализация программы развития муниципальной службы муниципальных образований Ярославской области</v>
      </c>
      <c r="B48" s="233"/>
      <c r="C48" s="234"/>
      <c r="D48" s="235">
        <v>5225101</v>
      </c>
      <c r="E48" s="236"/>
      <c r="F48" s="221">
        <v>240000</v>
      </c>
      <c r="G48" s="221">
        <f>G49</f>
        <v>240000</v>
      </c>
    </row>
    <row r="49" spans="1:7" s="20" customFormat="1" ht="31.5">
      <c r="A49" s="231" t="str">
        <f>IF(B49&gt;0,VLOOKUP(B49,КВСР!A41:B1206,2),IF(C49&gt;0,VLOOKUP(C49,КФСР!A41:B1553,2),IF(D49&gt;0,VLOOKUP(D49,КЦСР!A41:B4034,2),IF(E49&gt;0,VLOOKUP(E49,КВР!A41:B1972,2)))))</f>
        <v>Прочая закупка товаров, работ и услуг для государственных нужд</v>
      </c>
      <c r="B49" s="233"/>
      <c r="C49" s="234"/>
      <c r="D49" s="235"/>
      <c r="E49" s="236">
        <v>244</v>
      </c>
      <c r="F49" s="221">
        <v>240000</v>
      </c>
      <c r="G49" s="221">
        <v>240000</v>
      </c>
    </row>
    <row r="50" spans="1:7" s="20" customFormat="1" ht="63">
      <c r="A50" s="231" t="str">
        <f>IF(B50&gt;0,VLOOKUP(B50,КВСР!A42:B1207,2),IF(C50&gt;0,VLOOKUP(C50,КФСР!A42:B1554,2),IF(D50&gt;0,VLOOKUP(D50,КЦСР!A42:B4035,2),IF(E50&gt;0,VLOOKUP(E50,КВР!A42:B1973,2)))))</f>
        <v>Областная целевая программа "Развитие правовой грамотности и правосознания граждан на территории Ярославской области"</v>
      </c>
      <c r="B50" s="233"/>
      <c r="C50" s="234"/>
      <c r="D50" s="235">
        <v>5228400</v>
      </c>
      <c r="E50" s="236"/>
      <c r="F50" s="221">
        <v>50210</v>
      </c>
      <c r="G50" s="221">
        <f>G51</f>
        <v>50210</v>
      </c>
    </row>
    <row r="51" spans="1:7" s="20" customFormat="1" ht="111" customHeight="1">
      <c r="A51" s="231" t="str">
        <f>IF(B51&gt;0,VLOOKUP(B51,КВСР!A43:B1208,2),IF(C51&gt;0,VLOOKUP(C51,КФСР!A43:B1555,2),IF(D51&gt;0,VLOOKUP(D51,КЦСР!A43:B4036,2),IF(E51&gt;0,VLOOKUP(E51,КВР!A43:B1974,2)))))</f>
        <v>Субсидия на реализацию мероприятий областной целевой программы "Развитие правовой грамотности и правосознания граждан на территории Ярославской области" в части создания пунктов оказания бесплатной юридической помощи</v>
      </c>
      <c r="B51" s="233"/>
      <c r="C51" s="234"/>
      <c r="D51" s="235">
        <v>5228401</v>
      </c>
      <c r="E51" s="236"/>
      <c r="F51" s="221">
        <v>50210</v>
      </c>
      <c r="G51" s="221">
        <f>G52</f>
        <v>50210</v>
      </c>
    </row>
    <row r="52" spans="1:7" s="20" customFormat="1" ht="47.25">
      <c r="A52" s="231" t="str">
        <f>IF(B52&gt;0,VLOOKUP(B52,КВСР!A44:B1209,2),IF(C52&gt;0,VLOOKUP(C52,КФСР!A44:B1556,2),IF(D52&gt;0,VLOOKUP(D52,КЦСР!A44:B4037,2),IF(E52&gt;0,VLOOKUP(E52,КВР!A44:B1975,2)))))</f>
        <v>Закупка товаров, работ, услуг в сфере информационно-коммуникационных технологий</v>
      </c>
      <c r="B52" s="233"/>
      <c r="C52" s="234"/>
      <c r="D52" s="235"/>
      <c r="E52" s="236">
        <v>242</v>
      </c>
      <c r="F52" s="221">
        <v>50210</v>
      </c>
      <c r="G52" s="221">
        <v>50210</v>
      </c>
    </row>
    <row r="53" spans="1:7" s="20" customFormat="1" ht="31.5">
      <c r="A53" s="231" t="str">
        <f>IF(B53&gt;0,VLOOKUP(B53,КВСР!A45:B1210,2),IF(C53&gt;0,VLOOKUP(C53,КФСР!A45:B1557,2),IF(D53&gt;0,VLOOKUP(D53,КЦСР!A45:B4038,2),IF(E53&gt;0,VLOOKUP(E53,КВР!A45:B1976,2)))))</f>
        <v>Целевые программы муниципальных образований</v>
      </c>
      <c r="B53" s="233"/>
      <c r="C53" s="234"/>
      <c r="D53" s="235">
        <v>7950000</v>
      </c>
      <c r="E53" s="236"/>
      <c r="F53" s="221">
        <v>400000</v>
      </c>
      <c r="G53" s="221">
        <f>G54</f>
        <v>166209</v>
      </c>
    </row>
    <row r="54" spans="1:7" s="20" customFormat="1" ht="63">
      <c r="A54" s="231" t="str">
        <f>IF(B54&gt;0,VLOOKUP(B54,КВСР!A46:B1211,2),IF(C54&gt;0,VLOOKUP(C54,КФСР!A46:B1558,2),IF(D54&gt;0,VLOOKUP(D54,КЦСР!A46:B4039,2),IF(E54&gt;0,VLOOKUP(E54,КВР!A46:B1977,2)))))</f>
        <v>МЦП "Развитие информатизации Тутаевского муниципального района Ярославской области" на 2011-2013 годы</v>
      </c>
      <c r="B54" s="233"/>
      <c r="C54" s="234"/>
      <c r="D54" s="235">
        <v>7952100</v>
      </c>
      <c r="E54" s="236"/>
      <c r="F54" s="221">
        <v>400000</v>
      </c>
      <c r="G54" s="221">
        <f>G55</f>
        <v>166209</v>
      </c>
    </row>
    <row r="55" spans="1:7" s="20" customFormat="1" ht="47.25">
      <c r="A55" s="231" t="str">
        <f>IF(B55&gt;0,VLOOKUP(B55,КВСР!A47:B1212,2),IF(C55&gt;0,VLOOKUP(C55,КФСР!A47:B1559,2),IF(D55&gt;0,VLOOKUP(D55,КЦСР!A47:B4040,2),IF(E55&gt;0,VLOOKUP(E55,КВР!A47:B1978,2)))))</f>
        <v>Закупка товаров, работ, услуг в сфере информационно-коммуникационных технологий</v>
      </c>
      <c r="B55" s="233"/>
      <c r="C55" s="234"/>
      <c r="D55" s="235"/>
      <c r="E55" s="236">
        <v>242</v>
      </c>
      <c r="F55" s="221">
        <v>400000</v>
      </c>
      <c r="G55" s="221">
        <v>166209</v>
      </c>
    </row>
    <row r="56" spans="1:7" s="20" customFormat="1">
      <c r="A56" s="231" t="str">
        <f>IF(B56&gt;0,VLOOKUP(B56,КВСР!A48:B1213,2),IF(C56&gt;0,VLOOKUP(C56,КФСР!A48:B1560,2),IF(D56&gt;0,VLOOKUP(D56,КЦСР!A48:B4041,2),IF(E56&gt;0,VLOOKUP(E56,КВР!A48:B1979,2)))))</f>
        <v>Органы юстиции</v>
      </c>
      <c r="B56" s="233"/>
      <c r="C56" s="234">
        <v>304</v>
      </c>
      <c r="D56" s="235"/>
      <c r="E56" s="236"/>
      <c r="F56" s="221">
        <v>2683360</v>
      </c>
      <c r="G56" s="221">
        <f>G57</f>
        <v>2683233</v>
      </c>
    </row>
    <row r="57" spans="1:7" s="20" customFormat="1" ht="31.5">
      <c r="A57" s="231" t="str">
        <f>IF(B57&gt;0,VLOOKUP(B57,КВСР!A49:B1214,2),IF(C57&gt;0,VLOOKUP(C57,КФСР!A49:B1561,2),IF(D57&gt;0,VLOOKUP(D57,КЦСР!A49:B4042,2),IF(E57&gt;0,VLOOKUP(E57,КВР!A49:B1980,2)))))</f>
        <v>Руководство и управление в сфере установленных функций</v>
      </c>
      <c r="B57" s="233"/>
      <c r="C57" s="234"/>
      <c r="D57" s="235">
        <v>10000</v>
      </c>
      <c r="E57" s="236"/>
      <c r="F57" s="221">
        <v>2683360</v>
      </c>
      <c r="G57" s="221">
        <f>G58</f>
        <v>2683233</v>
      </c>
    </row>
    <row r="58" spans="1:7" s="20" customFormat="1" ht="31.5">
      <c r="A58" s="231" t="str">
        <f>IF(B58&gt;0,VLOOKUP(B58,КВСР!A50:B1215,2),IF(C58&gt;0,VLOOKUP(C58,КФСР!A50:B1562,2),IF(D58&gt;0,VLOOKUP(D58,КЦСР!A50:B4043,2),IF(E58&gt;0,VLOOKUP(E58,КВР!A50:B1981,2)))))</f>
        <v>Государственная регистрация актов гражданского состояния</v>
      </c>
      <c r="B58" s="233"/>
      <c r="C58" s="234"/>
      <c r="D58" s="235">
        <v>13800</v>
      </c>
      <c r="E58" s="236"/>
      <c r="F58" s="221">
        <v>2683360</v>
      </c>
      <c r="G58" s="221">
        <f>G59</f>
        <v>2683233</v>
      </c>
    </row>
    <row r="59" spans="1:7" s="20" customFormat="1" ht="31.5">
      <c r="A59" s="231" t="str">
        <f>IF(B59&gt;0,VLOOKUP(B59,КВСР!A51:B1216,2),IF(C59&gt;0,VLOOKUP(C59,КФСР!A51:B1563,2),IF(D59&gt;0,VLOOKUP(D59,КЦСР!A51:B4044,2),IF(E59&gt;0,VLOOKUP(E59,КВР!A51:B1982,2)))))</f>
        <v>Государственная регистрация актов гражданского состояния</v>
      </c>
      <c r="B59" s="233"/>
      <c r="C59" s="234"/>
      <c r="D59" s="235">
        <v>13801</v>
      </c>
      <c r="E59" s="236"/>
      <c r="F59" s="221">
        <v>2683360</v>
      </c>
      <c r="G59" s="221">
        <f>SUM(G60:G64)</f>
        <v>2683233</v>
      </c>
    </row>
    <row r="60" spans="1:7" s="20" customFormat="1" ht="18.75" customHeight="1">
      <c r="A60" s="231" t="str">
        <f>IF(B60&gt;0,VLOOKUP(B60,КВСР!A52:B1217,2),IF(C60&gt;0,VLOOKUP(C60,КФСР!A52:B1564,2),IF(D60&gt;0,VLOOKUP(D60,КЦСР!A52:B4045,2),IF(E60&gt;0,VLOOKUP(E60,КВР!A52:B1983,2)))))</f>
        <v>Фонд оплаты труда и страховые взносы</v>
      </c>
      <c r="B60" s="233"/>
      <c r="C60" s="234"/>
      <c r="D60" s="235"/>
      <c r="E60" s="236">
        <v>121</v>
      </c>
      <c r="F60" s="221">
        <v>2129078</v>
      </c>
      <c r="G60" s="221">
        <v>2129078</v>
      </c>
    </row>
    <row r="61" spans="1:7" s="20" customFormat="1" ht="36.75" customHeight="1">
      <c r="A61" s="231" t="str">
        <f>IF(B61&gt;0,VLOOKUP(B61,КВСР!A53:B1218,2),IF(C61&gt;0,VLOOKUP(C61,КФСР!A53:B1565,2),IF(D61&gt;0,VLOOKUP(D61,КЦСР!A53:B4046,2),IF(E61&gt;0,VLOOKUP(E61,КВР!A53:B1984,2)))))</f>
        <v>Иные выплаты персоналу, за исключением фонда оплаты труда</v>
      </c>
      <c r="B61" s="233"/>
      <c r="C61" s="234"/>
      <c r="D61" s="235"/>
      <c r="E61" s="236">
        <v>122</v>
      </c>
      <c r="F61" s="221">
        <v>0</v>
      </c>
      <c r="G61" s="221"/>
    </row>
    <row r="62" spans="1:7" s="20" customFormat="1" ht="47.25">
      <c r="A62" s="231" t="str">
        <f>IF(B62&gt;0,VLOOKUP(B62,КВСР!A54:B1219,2),IF(C62&gt;0,VLOOKUP(C62,КФСР!A54:B1566,2),IF(D62&gt;0,VLOOKUP(D62,КЦСР!A54:B4047,2),IF(E62&gt;0,VLOOKUP(E62,КВР!A54:B1985,2)))))</f>
        <v>Закупка товаров, работ, услуг в сфере информационно-коммуникационных технологий</v>
      </c>
      <c r="B62" s="233"/>
      <c r="C62" s="234"/>
      <c r="D62" s="235"/>
      <c r="E62" s="236">
        <v>242</v>
      </c>
      <c r="F62" s="221">
        <v>157125</v>
      </c>
      <c r="G62" s="221">
        <v>157125</v>
      </c>
    </row>
    <row r="63" spans="1:7" s="20" customFormat="1" ht="47.25">
      <c r="A63" s="231" t="str">
        <f>IF(B63&gt;0,VLOOKUP(B63,КВСР!A55:B1220,2),IF(C63&gt;0,VLOOKUP(C63,КФСР!A55:B1567,2),IF(D63&gt;0,VLOOKUP(D63,КЦСР!A55:B4048,2),IF(E63&gt;0,VLOOKUP(E63,КВР!A55:B1986,2)))))</f>
        <v xml:space="preserve">Закупка товаров, работ, услуг в целях капитального ремонта государственного имущества </v>
      </c>
      <c r="B63" s="233"/>
      <c r="C63" s="234"/>
      <c r="D63" s="235"/>
      <c r="E63" s="236">
        <v>243</v>
      </c>
      <c r="F63" s="221">
        <v>0</v>
      </c>
      <c r="G63" s="221"/>
    </row>
    <row r="64" spans="1:7" s="20" customFormat="1" ht="31.5">
      <c r="A64" s="231" t="str">
        <f>IF(B64&gt;0,VLOOKUP(B64,КВСР!A56:B1221,2),IF(C64&gt;0,VLOOKUP(C64,КФСР!A56:B1568,2),IF(D64&gt;0,VLOOKUP(D64,КЦСР!A56:B4049,2),IF(E64&gt;0,VLOOKUP(E64,КВР!A56:B1987,2)))))</f>
        <v>Прочая закупка товаров, работ и услуг для государственных нужд</v>
      </c>
      <c r="B64" s="233"/>
      <c r="C64" s="234"/>
      <c r="D64" s="235"/>
      <c r="E64" s="236">
        <v>244</v>
      </c>
      <c r="F64" s="221">
        <v>397157</v>
      </c>
      <c r="G64" s="221">
        <v>397030</v>
      </c>
    </row>
    <row r="65" spans="1:7" s="20" customFormat="1" ht="63">
      <c r="A65" s="231" t="str">
        <f>IF(B65&gt;0,VLOOKUP(B65,КВСР!A57:B1222,2),IF(C65&gt;0,VLOOKUP(C65,КФСР!A57:B1569,2),IF(D65&gt;0,VLOOKUP(D65,КЦСР!A57:B4050,2),IF(E65&gt;0,VLOOKUP(E65,КВР!A57:B1988,2)))))</f>
        <v>Защита населения и территории от последствий чрезвычайных ситуаций природного и техногенного характера, гражданская оборона</v>
      </c>
      <c r="B65" s="233"/>
      <c r="C65" s="234">
        <v>309</v>
      </c>
      <c r="D65" s="235"/>
      <c r="E65" s="236"/>
      <c r="F65" s="221">
        <v>127250</v>
      </c>
      <c r="G65" s="221">
        <f>G66</f>
        <v>127195</v>
      </c>
    </row>
    <row r="66" spans="1:7" s="20" customFormat="1">
      <c r="A66" s="231" t="str">
        <f>IF(B66&gt;0,VLOOKUP(B66,КВСР!A58:B1223,2),IF(C66&gt;0,VLOOKUP(C66,КФСР!A58:B1570,2),IF(D66&gt;0,VLOOKUP(D66,КЦСР!A58:B4051,2),IF(E66&gt;0,VLOOKUP(E66,КВР!A58:B1989,2)))))</f>
        <v>Региональные целевые программы</v>
      </c>
      <c r="B66" s="233"/>
      <c r="C66" s="234"/>
      <c r="D66" s="235">
        <v>5220000</v>
      </c>
      <c r="E66" s="236"/>
      <c r="F66" s="221">
        <v>127250</v>
      </c>
      <c r="G66" s="221">
        <f>G67</f>
        <v>127195</v>
      </c>
    </row>
    <row r="67" spans="1:7" s="20" customFormat="1" ht="49.5" customHeight="1">
      <c r="A67" s="231" t="str">
        <f>IF(B67&gt;0,VLOOKUP(B67,КВСР!A59:B1224,2),IF(C67&gt;0,VLOOKUP(C67,КФСР!A59:B1571,2),IF(D67&gt;0,VLOOKUP(D67,КЦСР!A59:B4052,2),IF(E67&gt;0,VLOOKUP(E67,КВР!A59:B1990,2)))))</f>
        <v>Областная целевая программа "Обеспечение безопасности граждан на водных объектах Ярославской области"</v>
      </c>
      <c r="B67" s="233"/>
      <c r="C67" s="234"/>
      <c r="D67" s="235">
        <v>5228000</v>
      </c>
      <c r="E67" s="236"/>
      <c r="F67" s="221">
        <v>127250</v>
      </c>
      <c r="G67" s="221">
        <f>G68</f>
        <v>127195</v>
      </c>
    </row>
    <row r="68" spans="1:7" s="20" customFormat="1" ht="63">
      <c r="A68" s="231" t="str">
        <f>IF(B68&gt;0,VLOOKUP(B68,КВСР!A60:B1225,2),IF(C68&gt;0,VLOOKUP(C68,КФСР!A60:B1572,2),IF(D68&gt;0,VLOOKUP(D68,КЦСР!A60:B4053,2),IF(E68&gt;0,VLOOKUP(E68,КВР!A60:B1991,2)))))</f>
        <v>Субсидия на реализацию мероприятий ОЦП "Обеспечение безопасности граждан на водных объектах Ярославской области"</v>
      </c>
      <c r="B68" s="233"/>
      <c r="C68" s="234"/>
      <c r="D68" s="235">
        <v>5228001</v>
      </c>
      <c r="E68" s="236"/>
      <c r="F68" s="221">
        <v>127250</v>
      </c>
      <c r="G68" s="221">
        <f>G69</f>
        <v>127195</v>
      </c>
    </row>
    <row r="69" spans="1:7" s="20" customFormat="1" ht="78.75">
      <c r="A69" s="231" t="str">
        <f>IF(B69&gt;0,VLOOKUP(B69,КВСР!A61:B1226,2),IF(C69&gt;0,VLOOKUP(C69,КФСР!A61:B1573,2),IF(D69&gt;0,VLOOKUP(D69,КЦСР!A61:B4054,2),IF(E69&gt;0,VLOOKUP(E69,КВР!A61:B1992,2)))))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69" s="233"/>
      <c r="C69" s="234"/>
      <c r="D69" s="235"/>
      <c r="E69" s="236">
        <v>521</v>
      </c>
      <c r="F69" s="221">
        <v>127250</v>
      </c>
      <c r="G69" s="221">
        <v>127195</v>
      </c>
    </row>
    <row r="70" spans="1:7" s="20" customFormat="1">
      <c r="A70" s="231" t="str">
        <f>IF(B70&gt;0,VLOOKUP(B70,КВСР!A62:B1227,2),IF(C70&gt;0,VLOOKUP(C70,КФСР!A62:B1574,2),IF(D70&gt;0,VLOOKUP(D70,КЦСР!A62:B4055,2),IF(E70&gt;0,VLOOKUP(E70,КВР!A62:B1993,2)))))</f>
        <v>Сельское хозяйство и рыболовство</v>
      </c>
      <c r="B70" s="233"/>
      <c r="C70" s="234">
        <v>405</v>
      </c>
      <c r="D70" s="235"/>
      <c r="E70" s="236"/>
      <c r="F70" s="221">
        <v>858772</v>
      </c>
      <c r="G70" s="221">
        <f>G73+G77</f>
        <v>641002</v>
      </c>
    </row>
    <row r="71" spans="1:7" s="20" customFormat="1">
      <c r="A71" s="231" t="str">
        <f>IF(B71&gt;0,VLOOKUP(B71,КВСР!A63:B1228,2),IF(C71&gt;0,VLOOKUP(C71,КФСР!A63:B1575,2),IF(D71&gt;0,VLOOKUP(D71,КЦСР!A63:B4056,2),IF(E71&gt;0,VLOOKUP(E71,КВР!A63:B1994,2)))))</f>
        <v>Региональные целевые программы</v>
      </c>
      <c r="B71" s="233"/>
      <c r="C71" s="234"/>
      <c r="D71" s="235">
        <v>5220000</v>
      </c>
      <c r="E71" s="236"/>
      <c r="F71" s="221">
        <v>10100</v>
      </c>
      <c r="G71" s="221">
        <f>G72</f>
        <v>10100</v>
      </c>
    </row>
    <row r="72" spans="1:7" s="20" customFormat="1" ht="78.75">
      <c r="A72" s="231" t="str">
        <f>IF(D72&gt;0,VLOOKUP(D72,КЦСР!A65:B4058,2))</f>
        <v>ОЦП "Развитие агропромышленного комплекса и сельских территорий ЯО" в части финансирования мероприятий за счет средств областного бюджета</v>
      </c>
      <c r="B72" s="233"/>
      <c r="C72" s="234"/>
      <c r="D72" s="235">
        <v>5225700</v>
      </c>
      <c r="E72" s="236"/>
      <c r="F72" s="221">
        <v>10100</v>
      </c>
      <c r="G72" s="221">
        <f>G73</f>
        <v>10100</v>
      </c>
    </row>
    <row r="73" spans="1:7" s="20" customFormat="1" ht="47.25">
      <c r="A73" s="231" t="str">
        <f>IF(B73&gt;0,VLOOKUP(B73,КВСР!A66:B1231,2),IF(C73&gt;0,VLOOKUP(C73,КФСР!A66:B1578,2),IF(D73&gt;0,VLOOKUP(D73,КЦСР!A66:B4059,2),IF(E73&gt;0,VLOOKUP(E73,КВР!A66:B1997,2)))))</f>
        <v>ОЦП "Обеспечение муниципальных районов документацией территориального планирования"</v>
      </c>
      <c r="B73" s="233"/>
      <c r="C73" s="234"/>
      <c r="D73" s="235">
        <v>5225701</v>
      </c>
      <c r="E73" s="236"/>
      <c r="F73" s="221">
        <v>10100</v>
      </c>
      <c r="G73" s="221">
        <f>G74+G75</f>
        <v>10100</v>
      </c>
    </row>
    <row r="74" spans="1:7" s="20" customFormat="1" ht="47.25">
      <c r="A74" s="231" t="str">
        <f>IF(B74&gt;0,VLOOKUP(B74,КВСР!A66:B1231,2),IF(C74&gt;0,VLOOKUP(C74,КФСР!A66:B1578,2),IF(D74&gt;0,VLOOKUP(D74,КЦСР!A66:B4059,2),IF(E74&gt;0,VLOOKUP(E74,КВР!A66:B1997,2)))))</f>
        <v>Закупка товаров, работ, услуг в сфере информационно-коммуникационных технологий</v>
      </c>
      <c r="B74" s="233"/>
      <c r="C74" s="234"/>
      <c r="D74" s="235"/>
      <c r="E74" s="236">
        <v>242</v>
      </c>
      <c r="F74" s="221">
        <v>5470</v>
      </c>
      <c r="G74" s="221">
        <v>5470</v>
      </c>
    </row>
    <row r="75" spans="1:7" s="20" customFormat="1" ht="31.5">
      <c r="A75" s="231" t="str">
        <f>IF(B75&gt;0,VLOOKUP(B75,КВСР!A67:B1232,2),IF(C75&gt;0,VLOOKUP(C75,КФСР!A67:B1579,2),IF(D75&gt;0,VLOOKUP(D75,КЦСР!A67:B4060,2),IF(E75&gt;0,VLOOKUP(E75,КВР!A67:B1998,2)))))</f>
        <v>Прочая закупка товаров, работ и услуг для государственных нужд</v>
      </c>
      <c r="B75" s="233"/>
      <c r="C75" s="234"/>
      <c r="D75" s="235"/>
      <c r="E75" s="236">
        <v>244</v>
      </c>
      <c r="F75" s="221">
        <v>4630</v>
      </c>
      <c r="G75" s="221">
        <v>4630</v>
      </c>
    </row>
    <row r="76" spans="1:7" s="20" customFormat="1" ht="58.5" customHeight="1">
      <c r="A76" s="231" t="str">
        <f>IF(B76&gt;0,VLOOKUP(B76,КВСР!A69:B1234,2),IF(C76&gt;0,VLOOKUP(C76,КФСР!A69:B1581,2),IF(D76&gt;0,VLOOKUP(D76,КЦСР!A69:B4062,2),IF(E76&gt;0,VLOOKUP(E76,КВР!A69:B2000,2)))))</f>
        <v>Целевые программы муниципальных образований</v>
      </c>
      <c r="B76" s="233"/>
      <c r="C76" s="234"/>
      <c r="D76" s="235">
        <v>7950000</v>
      </c>
      <c r="E76" s="236"/>
      <c r="F76" s="221">
        <v>848672</v>
      </c>
      <c r="G76" s="221">
        <f>G77</f>
        <v>630902</v>
      </c>
    </row>
    <row r="77" spans="1:7" s="20" customFormat="1" ht="63">
      <c r="A77" s="231" t="str">
        <f>IF(B77&gt;0,VLOOKUP(B77,КВСР!A64:B1229,2),IF(C77&gt;0,VLOOKUP(C77,КФСР!A64:B1576,2),IF(D77&gt;0,VLOOKUP(D77,КЦСР!A64:B4057,2),IF(E77&gt;0,VLOOKUP(E77,КВР!A64:B1995,2)))))</f>
        <v>Муниципальная целевая программа "Развитие агропромышленного комплекса и сельских территорий ТМР" на 2013-2015 годы</v>
      </c>
      <c r="B77" s="233"/>
      <c r="C77" s="234"/>
      <c r="D77" s="235">
        <v>7951500</v>
      </c>
      <c r="E77" s="236"/>
      <c r="F77" s="221">
        <v>848672</v>
      </c>
      <c r="G77" s="221">
        <f>SUM(G78:G80)</f>
        <v>630902</v>
      </c>
    </row>
    <row r="78" spans="1:7" s="20" customFormat="1" ht="31.5">
      <c r="A78" s="231" t="str">
        <f>IF(B78&gt;0,VLOOKUP(B78,КВСР!A65:B1230,2),IF(C78&gt;0,VLOOKUP(C78,КФСР!A65:B1577,2),IF(D78&gt;0,VLOOKUP(D78,КЦСР!A65:B4058,2),IF(E78&gt;0,VLOOKUP(E78,КВР!A65:B1996,2)))))</f>
        <v>Прочая закупка товаров, работ и услуг для государственных нужд</v>
      </c>
      <c r="B78" s="233"/>
      <c r="C78" s="234"/>
      <c r="D78" s="235"/>
      <c r="E78" s="236">
        <v>244</v>
      </c>
      <c r="F78" s="221">
        <v>167438</v>
      </c>
      <c r="G78" s="221">
        <v>118802</v>
      </c>
    </row>
    <row r="79" spans="1:7" s="20" customFormat="1" ht="49.5" customHeight="1">
      <c r="A79" s="231" t="str">
        <f>IF(B79&gt;0,VLOOKUP(B79,КВСР!A66:B1231,2),IF(C79&gt;0,VLOOKUP(C79,КФСР!A66:B1578,2),IF(D79&gt;0,VLOOKUP(D79,КЦСР!A66:B4059,2),IF(E79&gt;0,VLOOKUP(E79,КВР!A66:B1997,2)))))</f>
        <v>Пособия и компенсации гражданам и иные социальные выплаты, кроме публичных нормативных обязательств</v>
      </c>
      <c r="B79" s="233"/>
      <c r="C79" s="234"/>
      <c r="D79" s="235"/>
      <c r="E79" s="236">
        <v>321</v>
      </c>
      <c r="F79" s="221">
        <v>101134</v>
      </c>
      <c r="G79" s="221">
        <v>32000</v>
      </c>
    </row>
    <row r="80" spans="1:7" s="20" customFormat="1" ht="63">
      <c r="A80" s="231" t="str">
        <f>IF(B80&gt;0,VLOOKUP(B80,КВСР!A67:B1232,2),IF(C80&gt;0,VLOOKUP(C80,КФСР!A67:B1579,2),IF(D80&gt;0,VLOOKUP(D80,КЦСР!A67:B4060,2),IF(E80&gt;0,VLOOKUP(E80,КВР!A67:B1998,2)))))</f>
        <v>Субсидии юридическим лицам (кроме государственных учреждений) и физическим лицам - производителям товаров, работ, услуг</v>
      </c>
      <c r="B80" s="233"/>
      <c r="C80" s="234"/>
      <c r="D80" s="235"/>
      <c r="E80" s="236">
        <v>810</v>
      </c>
      <c r="F80" s="221">
        <v>580100</v>
      </c>
      <c r="G80" s="221">
        <v>480100</v>
      </c>
    </row>
    <row r="81" spans="1:7" s="20" customFormat="1" ht="31.5">
      <c r="A81" s="231" t="str">
        <f>IF(B81&gt;0,VLOOKUP(B81,КВСР!A68:B1233,2),IF(C81&gt;0,VLOOKUP(C81,КФСР!A68:B1580,2),IF(D81&gt;0,VLOOKUP(D81,КЦСР!A68:B4061,2),IF(E81&gt;0,VLOOKUP(E81,КВР!A68:B1999,2)))))</f>
        <v>Другие вопросы в области национальной экономики</v>
      </c>
      <c r="B81" s="233"/>
      <c r="C81" s="234">
        <v>412</v>
      </c>
      <c r="D81" s="235"/>
      <c r="E81" s="236"/>
      <c r="F81" s="221">
        <v>889889</v>
      </c>
      <c r="G81" s="221">
        <f>G83+G87+G91+G94</f>
        <v>691889</v>
      </c>
    </row>
    <row r="82" spans="1:7" s="20" customFormat="1" ht="33" customHeight="1">
      <c r="A82" s="231" t="str">
        <f>IF(B82&gt;0,VLOOKUP(B82,КВСР!A69:B1234,2),IF(C82&gt;0,VLOOKUP(C82,КФСР!A69:B1581,2),IF(D82&gt;0,VLOOKUP(D82,КЦСР!A69:B4062,2),IF(E82&gt;0,VLOOKUP(E82,КВР!A69:B2000,2)))))</f>
        <v>Реализация государственных функций в области национальной экономики</v>
      </c>
      <c r="B82" s="233"/>
      <c r="C82" s="234"/>
      <c r="D82" s="235">
        <v>3400000</v>
      </c>
      <c r="E82" s="236"/>
      <c r="F82" s="221">
        <v>297000</v>
      </c>
      <c r="G82" s="221">
        <f>G83</f>
        <v>99000</v>
      </c>
    </row>
    <row r="83" spans="1:7" s="20" customFormat="1" ht="31.5">
      <c r="A83" s="231" t="str">
        <f>IF(B83&gt;0,VLOOKUP(B83,КВСР!A70:B1235,2),IF(C83&gt;0,VLOOKUP(C83,КФСР!A70:B1582,2),IF(D83&gt;0,VLOOKUP(D83,КЦСР!A70:B4063,2),IF(E83&gt;0,VLOOKUP(E83,КВР!A70:B2001,2)))))</f>
        <v>Мероприятия по землеустройству и землепользованию</v>
      </c>
      <c r="B83" s="233"/>
      <c r="C83" s="234"/>
      <c r="D83" s="235">
        <v>3400300</v>
      </c>
      <c r="E83" s="236"/>
      <c r="F83" s="221">
        <v>297000</v>
      </c>
      <c r="G83" s="221">
        <f>G84</f>
        <v>99000</v>
      </c>
    </row>
    <row r="84" spans="1:7" s="20" customFormat="1" ht="31.5">
      <c r="A84" s="231" t="str">
        <f>IF(B84&gt;0,VLOOKUP(B84,КВСР!A71:B1236,2),IF(C84&gt;0,VLOOKUP(C84,КФСР!A71:B1583,2),IF(D84&gt;0,VLOOKUP(D84,КЦСР!A71:B4064,2),IF(E84&gt;0,VLOOKUP(E84,КВР!A71:B2002,2)))))</f>
        <v>Прочая закупка товаров, работ и услуг для государственных нужд</v>
      </c>
      <c r="B84" s="233"/>
      <c r="C84" s="234"/>
      <c r="D84" s="235"/>
      <c r="E84" s="236">
        <v>244</v>
      </c>
      <c r="F84" s="221">
        <v>297000</v>
      </c>
      <c r="G84" s="221">
        <v>99000</v>
      </c>
    </row>
    <row r="85" spans="1:7" s="20" customFormat="1" ht="31.5">
      <c r="A85" s="231" t="str">
        <f>IF(B85&gt;0,VLOOKUP(B85,КВСР!A72:B1237,2),IF(C85&gt;0,VLOOKUP(C85,КФСР!A72:B1584,2),IF(D85&gt;0,VLOOKUP(D85,КЦСР!A72:B4065,2),IF(E85&gt;0,VLOOKUP(E85,КВР!A72:B2003,2)))))</f>
        <v>Малый бизнес и предпринимательство</v>
      </c>
      <c r="B85" s="233"/>
      <c r="C85" s="234"/>
      <c r="D85" s="235">
        <v>3450000</v>
      </c>
      <c r="E85" s="236"/>
      <c r="F85" s="221">
        <v>280000</v>
      </c>
      <c r="G85" s="221">
        <f>G86</f>
        <v>280000</v>
      </c>
    </row>
    <row r="86" spans="1:7" s="20" customFormat="1" ht="63">
      <c r="A86" s="231" t="str">
        <f>IF(B86&gt;0,VLOOKUP(B86,КВСР!A73:B1238,2),IF(C86&gt;0,VLOOKUP(C86,КФСР!A73:B1585,2),IF(D86&gt;0,VLOOKUP(D86,КЦСР!A73:B4066,2),IF(E86&gt;0,VLOOKUP(E86,КВР!A73:B2004,2)))))</f>
        <v>Субсидии на государственную поддержку малого и среднего предпринимательства, включая крестьянские (фермерские) хозяйства</v>
      </c>
      <c r="B86" s="233"/>
      <c r="C86" s="234"/>
      <c r="D86" s="235">
        <v>3450100</v>
      </c>
      <c r="E86" s="236"/>
      <c r="F86" s="221">
        <v>280000</v>
      </c>
      <c r="G86" s="221">
        <f>G87</f>
        <v>280000</v>
      </c>
    </row>
    <row r="87" spans="1:7" s="20" customFormat="1" ht="78.75">
      <c r="A87" s="231" t="str">
        <f>IF(B87&gt;0,VLOOKUP(B87,КВСР!A74:B1239,2),IF(C87&gt;0,VLOOKUP(C87,КФСР!A74:B1586,2),IF(D87&gt;0,VLOOKUP(D87,КЦСР!A74:B4067,2),IF(E87&gt;0,VLOOKUP(E87,КВР!A74:B2005,2)))))</f>
        <v>Субсидия на реализацию муниципальных целевых программ развития субъектов малого и среднего предпринимательства в части федерального бюджета</v>
      </c>
      <c r="B87" s="233"/>
      <c r="C87" s="234"/>
      <c r="D87" s="235">
        <v>3450102</v>
      </c>
      <c r="E87" s="236"/>
      <c r="F87" s="221">
        <v>280000</v>
      </c>
      <c r="G87" s="221">
        <f>G88</f>
        <v>280000</v>
      </c>
    </row>
    <row r="88" spans="1:7" s="20" customFormat="1" ht="31.5">
      <c r="A88" s="231" t="str">
        <f>IF(B88&gt;0,VLOOKUP(B88,КВСР!A75:B1240,2),IF(C88&gt;0,VLOOKUP(C88,КФСР!A75:B1587,2),IF(D88&gt;0,VLOOKUP(D88,КЦСР!A75:B4068,2),IF(E88&gt;0,VLOOKUP(E88,КВР!A75:B2006,2)))))</f>
        <v>Прочая закупка товаров, работ и услуг для государственных нужд</v>
      </c>
      <c r="B88" s="233"/>
      <c r="C88" s="234"/>
      <c r="D88" s="235"/>
      <c r="E88" s="236">
        <v>244</v>
      </c>
      <c r="F88" s="221">
        <v>280000</v>
      </c>
      <c r="G88" s="221">
        <v>280000</v>
      </c>
    </row>
    <row r="89" spans="1:7" s="20" customFormat="1">
      <c r="A89" s="231" t="str">
        <f>IF(B89&gt;0,VLOOKUP(B89,КВСР!A76:B1241,2),IF(C89&gt;0,VLOOKUP(C89,КФСР!A76:B1588,2),IF(D89&gt;0,VLOOKUP(D89,КЦСР!A76:B4069,2),IF(E89&gt;0,VLOOKUP(E89,КВР!A76:B2007,2)))))</f>
        <v>Региональные целевые программы</v>
      </c>
      <c r="B89" s="233"/>
      <c r="C89" s="234"/>
      <c r="D89" s="235">
        <v>5220000</v>
      </c>
      <c r="E89" s="236"/>
      <c r="F89" s="221">
        <v>164000</v>
      </c>
      <c r="G89" s="221">
        <f>G90</f>
        <v>164000</v>
      </c>
    </row>
    <row r="90" spans="1:7" s="20" customFormat="1" ht="31.5">
      <c r="A90" s="231" t="str">
        <f>IF(B90&gt;0,VLOOKUP(B90,КВСР!A77:B1242,2),IF(C90&gt;0,VLOOKUP(C90,КФСР!A77:B1589,2),IF(D90&gt;0,VLOOKUP(D90,КЦСР!A77:B4070,2),IF(E90&gt;0,VLOOKUP(E90,КВР!A77:B2008,2)))))</f>
        <v>ОЦП Развития субъектов малого и среднего предпринимательства ЯО</v>
      </c>
      <c r="B90" s="233"/>
      <c r="C90" s="234"/>
      <c r="D90" s="235">
        <v>5223100</v>
      </c>
      <c r="E90" s="236"/>
      <c r="F90" s="221">
        <v>164000</v>
      </c>
      <c r="G90" s="221">
        <f>G91</f>
        <v>164000</v>
      </c>
    </row>
    <row r="91" spans="1:7" s="20" customFormat="1" ht="78.75">
      <c r="A91" s="231" t="str">
        <f>IF(B91&gt;0,VLOOKUP(B91,КВСР!A78:B1243,2),IF(C91&gt;0,VLOOKUP(C91,КФСР!A78:B1590,2),IF(D91&gt;0,VLOOKUP(D91,КЦСР!A78:B4071,2),IF(E91&gt;0,VLOOKUP(E91,КВР!A78:B2009,2)))))</f>
        <v>ОЦП Развития субъектов малого и среднего предпринимательства ЯО в части реализации МП развития субъектов малого и среднего предпринимательства</v>
      </c>
      <c r="B91" s="233"/>
      <c r="C91" s="234"/>
      <c r="D91" s="235">
        <v>5223102</v>
      </c>
      <c r="F91" s="221">
        <v>164000</v>
      </c>
      <c r="G91" s="221">
        <f>G92</f>
        <v>164000</v>
      </c>
    </row>
    <row r="92" spans="1:7" s="20" customFormat="1" ht="31.5">
      <c r="A92" s="231" t="str">
        <f>IF(B92&gt;0,VLOOKUP(B92,КВСР!A79:B1244,2),IF(C92&gt;0,VLOOKUP(C92,КФСР!A79:B1591,2),IF(D92&gt;0,VLOOKUP(D92,КЦСР!A79:B4072,2),IF(E92&gt;0,VLOOKUP(E92,КВР!A79:B2010,2)))))</f>
        <v>Прочая закупка товаров, работ и услуг для государственных нужд</v>
      </c>
      <c r="B92" s="233"/>
      <c r="C92" s="234"/>
      <c r="D92" s="235"/>
      <c r="E92" s="236">
        <v>244</v>
      </c>
      <c r="F92" s="221">
        <v>164000</v>
      </c>
      <c r="G92" s="221">
        <v>164000</v>
      </c>
    </row>
    <row r="93" spans="1:7" s="20" customFormat="1" ht="31.5">
      <c r="A93" s="231" t="str">
        <f>IF(B93&gt;0,VLOOKUP(B93,КВСР!A80:B1245,2),IF(C93&gt;0,VLOOKUP(C93,КФСР!A80:B1592,2),IF(D93&gt;0,VLOOKUP(D93,КЦСР!A80:B4073,2),IF(E93&gt;0,VLOOKUP(E93,КВР!A80:B2011,2)))))</f>
        <v>Целевые программы муниципальных образований</v>
      </c>
      <c r="B93" s="233"/>
      <c r="C93" s="234"/>
      <c r="D93" s="235">
        <v>7950000</v>
      </c>
      <c r="E93" s="236"/>
      <c r="F93" s="221">
        <v>148889</v>
      </c>
      <c r="G93" s="221">
        <f>G94</f>
        <v>148889</v>
      </c>
    </row>
    <row r="94" spans="1:7" s="20" customFormat="1" ht="31.5">
      <c r="A94" s="231" t="str">
        <f>IF(B94&gt;0,VLOOKUP(B94,КВСР!A81:B1246,2),IF(C94&gt;0,VLOOKUP(C94,КФСР!A81:B1593,2),IF(D94&gt;0,VLOOKUP(D94,КЦСР!A81:B4074,2),IF(E94&gt;0,VLOOKUP(E94,КВР!A81:B2012,2)))))</f>
        <v>МЦП "Развитие потребительского рынка ТМР" на 2012-2014 годы</v>
      </c>
      <c r="B94" s="233"/>
      <c r="C94" s="234"/>
      <c r="D94" s="235">
        <v>7952300</v>
      </c>
      <c r="F94" s="221">
        <v>148889</v>
      </c>
      <c r="G94" s="221">
        <f>G95</f>
        <v>148889</v>
      </c>
    </row>
    <row r="95" spans="1:7" s="20" customFormat="1" ht="63">
      <c r="A95" s="231" t="str">
        <f>IF(B95&gt;0,VLOOKUP(B95,КВСР!A82:B1247,2),IF(C95&gt;0,VLOOKUP(C95,КФСР!A82:B1594,2),IF(D95&gt;0,VLOOKUP(D95,КЦСР!A82:B4075,2),IF(E95&gt;0,VLOOKUP(E95,КВР!A82:B2013,2)))))</f>
        <v>Субсидии юридическим лицам (кроме государственных учреждений) и физическим лицам - производителям товаров, работ, услуг</v>
      </c>
      <c r="B95" s="233"/>
      <c r="C95" s="234"/>
      <c r="D95" s="238"/>
      <c r="E95" s="236">
        <v>810</v>
      </c>
      <c r="F95" s="221">
        <v>148889</v>
      </c>
      <c r="G95" s="221">
        <v>148889</v>
      </c>
    </row>
    <row r="96" spans="1:7" s="20" customFormat="1">
      <c r="A96" s="231" t="str">
        <f>IF(B96&gt;0,VLOOKUP(B96,КВСР!A83:B1248,2),IF(C96&gt;0,VLOOKUP(C96,КФСР!A83:B1595,2),IF(D96&gt;0,VLOOKUP(D96,КЦСР!A83:B4076,2),IF(E96&gt;0,VLOOKUP(E96,КВР!A83:B2014,2)))))</f>
        <v>Жилищное хозяйство</v>
      </c>
      <c r="B96" s="233"/>
      <c r="C96" s="234">
        <v>501</v>
      </c>
      <c r="D96" s="235"/>
      <c r="E96" s="236"/>
      <c r="F96" s="221">
        <v>153051789.27000001</v>
      </c>
      <c r="G96" s="221">
        <f>G99+G103+G108+G111+G115</f>
        <v>63664903</v>
      </c>
    </row>
    <row r="97" spans="1:7" s="20" customFormat="1" ht="79.5" customHeight="1">
      <c r="A97" s="231" t="str">
        <f>IF(B97&gt;0,VLOOKUP(B97,КВСР!A84:B1249,2),IF(C97&gt;0,VLOOKUP(C97,КФСР!A84:B1596,2),IF(D97&gt;0,VLOOKUP(D97,КЦСР!A84:B4077,2),IF(E97&gt;0,VLOOKUP(E97,КВР!A84:B2015,2)))))</f>
        <v>Обеспечение мероприятий по капитальному ремонту многоквартирных домов и переселению граждан из аварийного жилищного фонда</v>
      </c>
      <c r="B97" s="233"/>
      <c r="C97" s="234"/>
      <c r="D97" s="235">
        <v>980000</v>
      </c>
      <c r="E97" s="236"/>
      <c r="F97" s="221">
        <v>128499940</v>
      </c>
      <c r="G97" s="221">
        <f>G98</f>
        <v>21730739</v>
      </c>
    </row>
    <row r="98" spans="1:7" s="20" customFormat="1" ht="126" customHeight="1">
      <c r="A98" s="231" t="str">
        <f>IF(B98&gt;0,VLOOKUP(B98,КВСР!A85:B1250,2),IF(C98&gt;0,VLOOKUP(C98,КФСР!A85:B1597,2),IF(D98&gt;0,VLOOKUP(D98,КЦСР!A85:B4078,2),IF(E98&gt;0,VLOOKUP(E98,КВР!A85:B2016,2)))))</f>
        <v>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v>
      </c>
      <c r="B98" s="233"/>
      <c r="C98" s="234"/>
      <c r="D98" s="235">
        <v>980100</v>
      </c>
      <c r="E98" s="236"/>
      <c r="F98" s="221">
        <v>91396890</v>
      </c>
      <c r="G98" s="221">
        <f>G99</f>
        <v>21730739</v>
      </c>
    </row>
    <row r="99" spans="1:7" s="20" customFormat="1" ht="129" customHeight="1">
      <c r="A99" s="231" t="str">
        <f>IF(B99&gt;0,VLOOKUP(B99,КВСР!A86:B1251,2),IF(C99&gt;0,VLOOKUP(C99,КФСР!A86:B1598,2),IF(D99&gt;0,VLOOKUP(D99,КЦСР!A86:B4079,2),IF(E99&gt;0,VLOOKUP(E99,КВР!A86:B2017,2)))))</f>
        <v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v>
      </c>
      <c r="B99" s="233"/>
      <c r="C99" s="234"/>
      <c r="D99" s="235">
        <v>980104</v>
      </c>
      <c r="F99" s="221">
        <v>91396890</v>
      </c>
      <c r="G99" s="221">
        <f>G100+G101</f>
        <v>21730739</v>
      </c>
    </row>
    <row r="100" spans="1:7" s="20" customFormat="1" ht="66" customHeight="1">
      <c r="A100" s="231" t="str">
        <f>IF(B100&gt;0,VLOOKUP(B100,КВСР!A87:B1252,2),IF(C100&gt;0,VLOOKUP(C100,КФСР!A87:B1599,2),IF(D100&gt;0,VLOOKUP(D100,КЦСР!A87:B4080,2),IF(E100&gt;0,VLOOKUP(E100,КВР!A87:B2018,2)))))</f>
        <v>Бюджетные инвестиции в объекты государственной собственности казенным учреждениям вне рамок государственного оборонного заказа</v>
      </c>
      <c r="B100" s="233"/>
      <c r="C100" s="234"/>
      <c r="D100" s="235"/>
      <c r="E100" s="236">
        <v>411</v>
      </c>
      <c r="F100" s="221">
        <v>43262310</v>
      </c>
      <c r="G100" s="221">
        <v>3923251</v>
      </c>
    </row>
    <row r="101" spans="1:7" s="20" customFormat="1" ht="67.5" customHeight="1">
      <c r="A101" s="231" t="str">
        <f>IF(B101&gt;0,VLOOKUP(B101,КВСР!A88:B1253,2),IF(C101&gt;0,VLOOKUP(C101,КФСР!A88:B1600,2),IF(D101&gt;0,VLOOKUP(D101,КЦСР!A88:B4081,2),IF(E101&gt;0,VLOOKUP(E101,КВР!A88:B2019,2)))))</f>
        <v>Субсидии на софинансирование объектов капитального строительства государственной (муниципальной) собственности</v>
      </c>
      <c r="B101" s="233"/>
      <c r="C101" s="234"/>
      <c r="D101" s="235"/>
      <c r="E101" s="236">
        <v>522</v>
      </c>
      <c r="F101" s="221">
        <v>48134580</v>
      </c>
      <c r="G101" s="221">
        <v>17807488</v>
      </c>
    </row>
    <row r="102" spans="1:7" s="20" customFormat="1" ht="90.75" customHeight="1">
      <c r="A102" s="231" t="str">
        <f>IF(B102&gt;0,VLOOKUP(B102,КВСР!A89:B1254,2),IF(C102&gt;0,VLOOKUP(C102,КФСР!A89:B1601,2),IF(D102&gt;0,VLOOKUP(D102,КЦСР!A89:B4082,2),IF(E102&gt;0,VLOOKUP(E102,КВР!A89:B2020,2)))))</f>
        <v>Обеспечение мероприятий по капитальному ремонту многоквартирных домов и переселение граждан из аварийного жилищного фонда за счет средств бюджетов</v>
      </c>
      <c r="B102" s="233"/>
      <c r="C102" s="234"/>
      <c r="D102" s="235">
        <v>980200</v>
      </c>
      <c r="E102" s="236"/>
      <c r="F102" s="221">
        <v>37103050</v>
      </c>
      <c r="G102" s="221">
        <f>G103</f>
        <v>22225788</v>
      </c>
    </row>
    <row r="103" spans="1:7" s="20" customFormat="1" ht="114" customHeight="1">
      <c r="A103" s="231" t="str">
        <f>IF(B103&gt;0,VLOOKUP(B103,КВСР!A90:B1255,2),IF(C103&gt;0,VLOOKUP(C103,КФСР!A90:B1602,2),IF(D103&gt;0,VLOOKUP(D103,КЦСР!A90:B4083,2),IF(E103&gt;0,VLOOKUP(E103,КВР!A90:B2021,2)))))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v>
      </c>
      <c r="B103" s="233"/>
      <c r="C103" s="234"/>
      <c r="D103" s="235">
        <v>980204</v>
      </c>
      <c r="F103" s="221">
        <v>37103050</v>
      </c>
      <c r="G103" s="221">
        <f>SUM(G104:G105)</f>
        <v>22225788</v>
      </c>
    </row>
    <row r="104" spans="1:7" s="20" customFormat="1" ht="64.5" customHeight="1">
      <c r="A104" s="231" t="str">
        <f>IF(B104&gt;0,VLOOKUP(B104,КВСР!A91:B1256,2),IF(C104&gt;0,VLOOKUP(C104,КФСР!A91:B1603,2),IF(D104&gt;0,VLOOKUP(D104,КЦСР!A91:B4084,2),IF(E104&gt;0,VLOOKUP(E104,КВР!A91:B2022,2)))))</f>
        <v>Бюджетные инвестиции в объекты государственной собственности казенным учреждениям вне рамок государственного оборонного заказа</v>
      </c>
      <c r="B104" s="233"/>
      <c r="C104" s="234"/>
      <c r="D104" s="235"/>
      <c r="E104" s="236">
        <v>411</v>
      </c>
      <c r="F104" s="221">
        <v>18765732</v>
      </c>
      <c r="G104" s="221">
        <v>3923250</v>
      </c>
    </row>
    <row r="105" spans="1:7" s="20" customFormat="1" ht="66.75" customHeight="1">
      <c r="A105" s="231" t="str">
        <f>IF(B105&gt;0,VLOOKUP(B105,КВСР!A92:B1257,2),IF(C105&gt;0,VLOOKUP(C105,КФСР!A92:B1604,2),IF(D105&gt;0,VLOOKUP(D105,КЦСР!A92:B4085,2),IF(E105&gt;0,VLOOKUP(E105,КВР!A92:B2023,2)))))</f>
        <v>Субсидии на софинансирование объектов капитального строительства государственной (муниципальной) собственности</v>
      </c>
      <c r="B105" s="233"/>
      <c r="C105" s="234"/>
      <c r="D105" s="235"/>
      <c r="E105" s="236">
        <v>522</v>
      </c>
      <c r="F105" s="221">
        <v>18337318</v>
      </c>
      <c r="G105" s="221">
        <v>18302538</v>
      </c>
    </row>
    <row r="106" spans="1:7" s="20" customFormat="1" ht="18" customHeight="1">
      <c r="A106" s="231" t="str">
        <f>IF(B106&gt;0,VLOOKUP(B106,КВСР!A93:B1258,2),IF(C106&gt;0,VLOOKUP(C106,КФСР!A93:B1605,2),IF(D106&gt;0,VLOOKUP(D106,КЦСР!A93:B4086,2),IF(E106&gt;0,VLOOKUP(E106,КВР!A93:B2024,2)))))</f>
        <v>Региональные целевые программы</v>
      </c>
      <c r="B106" s="233"/>
      <c r="C106" s="234"/>
      <c r="D106" s="235">
        <v>5220000</v>
      </c>
      <c r="E106" s="236"/>
      <c r="F106" s="221">
        <v>18679232</v>
      </c>
      <c r="G106" s="221">
        <f>G107</f>
        <v>15575040</v>
      </c>
    </row>
    <row r="107" spans="1:7" s="20" customFormat="1" ht="63.75" customHeight="1">
      <c r="A107" s="231" t="str">
        <f>IF(B107&gt;0,VLOOKUP(B107,КВСР!A94:B1259,2),IF(C107&gt;0,VLOOKUP(C107,КФСР!A94:B1606,2),IF(D107&gt;0,VLOOKUP(D107,КЦСР!A94:B4087,2),IF(E107&gt;0,VLOOKUP(E107,КВР!A94:B2025,2)))))</f>
        <v xml:space="preserve">Региональная программа "Стимулирование развития жилищного строительства на территории Ярославской области" </v>
      </c>
      <c r="B107" s="233"/>
      <c r="C107" s="234"/>
      <c r="D107" s="235">
        <v>5226000</v>
      </c>
      <c r="E107" s="236"/>
      <c r="F107" s="221">
        <v>15575040</v>
      </c>
      <c r="G107" s="221">
        <f>G108</f>
        <v>15575040</v>
      </c>
    </row>
    <row r="108" spans="1:7" s="20" customFormat="1" ht="79.5" customHeight="1">
      <c r="A108" s="231" t="str">
        <f>IF(B108&gt;0,VLOOKUP(B108,КВСР!A95:B1260,2),IF(C108&gt;0,VLOOKUP(C108,КФСР!A95:B1607,2),IF(D108&gt;0,VLOOKUP(D108,КЦСР!A95:B4088,2),IF(E108&gt;0,VLOOKUP(E108,КВР!A95:B2026,2)))))</f>
        <v>Субсидия на реализацию подпрограммы "Улучшение условий проживания отдельных категорий граждан, нуждающихся в специальной социальной защите"</v>
      </c>
      <c r="B108" s="233"/>
      <c r="C108" s="234"/>
      <c r="D108" s="235">
        <v>5226006</v>
      </c>
      <c r="F108" s="221">
        <v>15575040</v>
      </c>
      <c r="G108" s="221">
        <f>G109</f>
        <v>15575040</v>
      </c>
    </row>
    <row r="109" spans="1:7" s="20" customFormat="1" ht="63" customHeight="1">
      <c r="A109" s="231" t="str">
        <f>IF(B109&gt;0,VLOOKUP(B109,КВСР!A96:B1261,2),IF(C109&gt;0,VLOOKUP(C109,КФСР!A96:B1608,2),IF(D109&gt;0,VLOOKUP(D109,КЦСР!A96:B4089,2),IF(E109&gt;0,VLOOKUP(E109,КВР!A96:B2027,2)))))</f>
        <v>Субсидии на софинансирование объектов капитального строительства государственной (муниципальной) собственности</v>
      </c>
      <c r="B109" s="233"/>
      <c r="C109" s="234"/>
      <c r="D109" s="235"/>
      <c r="E109" s="236">
        <v>522</v>
      </c>
      <c r="F109" s="221">
        <v>15575040</v>
      </c>
      <c r="G109" s="221">
        <v>15575040</v>
      </c>
    </row>
    <row r="110" spans="1:7" s="20" customFormat="1" ht="63" customHeight="1">
      <c r="A110" s="231" t="str">
        <f>IF(B110&gt;0,VLOOKUP(B110,КВСР!A97:B1262,2),IF(C110&gt;0,VLOOKUP(C110,КФСР!A97:B1609,2),IF(D110&gt;0,VLOOKUP(D110,КЦСР!A97:B4090,2),IF(E110&gt;0,VLOOKUP(E110,КВР!A97:B2028,2)))))</f>
        <v>Региональные адресные программы по переселению граждан из аварийного жилищного фонда Ярославской области</v>
      </c>
      <c r="B110" s="233"/>
      <c r="C110" s="234"/>
      <c r="D110" s="235">
        <v>5227000</v>
      </c>
      <c r="E110" s="236"/>
      <c r="F110" s="221">
        <v>3104192</v>
      </c>
      <c r="G110" s="221">
        <f>G111</f>
        <v>3104192</v>
      </c>
    </row>
    <row r="111" spans="1:7" s="20" customFormat="1" ht="137.25" customHeight="1">
      <c r="A111" s="231" t="str">
        <f>IF(B111&gt;0,VLOOKUP(B111,КВСР!A98:B1263,2),IF(C111&gt;0,VLOOKUP(C111,КФСР!A98:B1610,2),IF(D111&gt;0,VLOOKUP(D111,КЦСР!A98:B4091,2),IF(E111&gt;0,VLOOKUP(E111,КВР!A98:B2029,2)))))</f>
        <v>Субсидия на обеспечение мероприятий по переселению граждан из аварийного ЖФ с учетом необходимости развития малоэтажного жилищного строительства на приобретение жилых помещений, площадь которых больше площади занимаемых помещений, за счет средств областного бюджета</v>
      </c>
      <c r="B111" s="233"/>
      <c r="C111" s="234"/>
      <c r="D111" s="235">
        <v>5227002</v>
      </c>
      <c r="E111" s="236"/>
      <c r="F111" s="221">
        <v>3104192</v>
      </c>
      <c r="G111" s="221">
        <f>G112</f>
        <v>3104192</v>
      </c>
    </row>
    <row r="112" spans="1:7" s="20" customFormat="1" ht="63" customHeight="1">
      <c r="A112" s="231" t="str">
        <f>IF(B112&gt;0,VLOOKUP(B112,КВСР!A99:B1264,2),IF(C112&gt;0,VLOOKUP(C112,КФСР!A99:B1611,2),IF(D112&gt;0,VLOOKUP(D112,КЦСР!A99:B4092,2),IF(E112&gt;0,VLOOKUP(E112,КВР!A99:B2030,2)))))</f>
        <v>Субсидии на софинансирование объектов капитального строительства государственной (муниципальной) собственности</v>
      </c>
      <c r="B112" s="233"/>
      <c r="C112" s="234"/>
      <c r="D112" s="235"/>
      <c r="E112" s="236">
        <v>522</v>
      </c>
      <c r="F112" s="221">
        <v>3104192</v>
      </c>
      <c r="G112" s="221">
        <v>3104192</v>
      </c>
    </row>
    <row r="113" spans="1:7" s="20" customFormat="1" ht="31.5">
      <c r="A113" s="231" t="str">
        <f>IF(B113&gt;0,VLOOKUP(B113,КВСР!A97:B1262,2),IF(C113&gt;0,VLOOKUP(C113,КФСР!A97:B1609,2),IF(D113&gt;0,VLOOKUP(D113,КЦСР!A97:B4090,2),IF(E113&gt;0,VLOOKUP(E113,КВР!A97:B2028,2)))))</f>
        <v>Целевые программы муниципальных образований</v>
      </c>
      <c r="B113" s="233"/>
      <c r="C113" s="234"/>
      <c r="D113" s="235">
        <v>7950000</v>
      </c>
      <c r="E113" s="236"/>
      <c r="F113" s="221">
        <v>5872617.2699999996</v>
      </c>
      <c r="G113" s="221">
        <f>G114</f>
        <v>1029144</v>
      </c>
    </row>
    <row r="114" spans="1:7" s="20" customFormat="1" ht="47.25">
      <c r="A114" s="231" t="str">
        <f>IF(B114&gt;0,VLOOKUP(B114,КВСР!A98:B1263,2),IF(C114&gt;0,VLOOKUP(C114,КФСР!A98:B1610,2),IF(D114&gt;0,VLOOKUP(D114,КЦСР!A98:B4091,2),IF(E114&gt;0,VLOOKUP(E114,КВР!A98:B2029,2)))))</f>
        <v>МЦП "Развитие жилищного строительства в ТМР ЯО на 2011 - 2015 гг"</v>
      </c>
      <c r="B114" s="233"/>
      <c r="C114" s="234"/>
      <c r="D114" s="235">
        <v>7951300</v>
      </c>
      <c r="E114" s="236"/>
      <c r="F114" s="221">
        <v>5872617.2699999996</v>
      </c>
      <c r="G114" s="221">
        <f>G115</f>
        <v>1029144</v>
      </c>
    </row>
    <row r="115" spans="1:7" s="20" customFormat="1" ht="94.5">
      <c r="A115" s="231" t="str">
        <f>IF(B115&gt;0,VLOOKUP(B115,КВСР!A99:B1264,2),IF(C115&gt;0,VLOOKUP(C115,КФСР!A99:B1611,2),IF(D115&gt;0,VLOOKUP(D115,КЦСР!A99:B4092,2),IF(E115&gt;0,VLOOKUP(E115,КВР!A99:B2030,2)))))</f>
        <v>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v>
      </c>
      <c r="B115" s="233"/>
      <c r="C115" s="234"/>
      <c r="D115" s="235">
        <v>7951301</v>
      </c>
      <c r="F115" s="221">
        <v>5872617.2699999996</v>
      </c>
      <c r="G115" s="221">
        <f>SUM(G116:G117)</f>
        <v>1029144</v>
      </c>
    </row>
    <row r="116" spans="1:7" s="20" customFormat="1" ht="64.5" customHeight="1">
      <c r="A116" s="231" t="str">
        <f>IF(B116&gt;0,VLOOKUP(B116,КВСР!A100:B1265,2),IF(C116&gt;0,VLOOKUP(C116,КФСР!A100:B1612,2),IF(D116&gt;0,VLOOKUP(D116,КЦСР!A100:B4093,2),IF(E116&gt;0,VLOOKUP(E116,КВР!A100:B2031,2)))))</f>
        <v>Бюджетные инвестиции в объекты государственной собственности казенным учреждениям вне рамок государственного оборонного заказа</v>
      </c>
      <c r="B116" s="233"/>
      <c r="C116" s="234"/>
      <c r="D116" s="235"/>
      <c r="E116" s="236">
        <v>411</v>
      </c>
      <c r="F116" s="221">
        <v>5272800</v>
      </c>
      <c r="G116" s="221">
        <v>429327</v>
      </c>
    </row>
    <row r="117" spans="1:7" s="20" customFormat="1" ht="47.25">
      <c r="A117" s="231" t="str">
        <f>IF(B117&gt;0,VLOOKUP(B117,КВСР!A101:B1266,2),IF(C117&gt;0,VLOOKUP(C117,КФСР!A101:B1613,2),IF(D117&gt;0,VLOOKUP(D117,КЦСР!A101:B4094,2),IF(E117&gt;0,VLOOKUP(E117,КВР!A101:B2032,2)))))</f>
        <v>Бюджетные инвестиции на приобретение объектов недвижимого имущества казенными учреждениями</v>
      </c>
      <c r="B117" s="233"/>
      <c r="C117" s="234"/>
      <c r="D117" s="235"/>
      <c r="E117" s="236">
        <v>441</v>
      </c>
      <c r="F117" s="221">
        <v>599817.27</v>
      </c>
      <c r="G117" s="221">
        <v>599817</v>
      </c>
    </row>
    <row r="118" spans="1:7" s="20" customFormat="1" ht="19.5" customHeight="1">
      <c r="A118" s="231" t="str">
        <f>IF(B118&gt;0,VLOOKUP(B118,КВСР!A102:B1267,2),IF(C118&gt;0,VLOOKUP(C118,КФСР!A102:B1614,2),IF(D118&gt;0,VLOOKUP(D118,КЦСР!A102:B4095,2),IF(E118&gt;0,VLOOKUP(E118,КВР!A102:B2033,2)))))</f>
        <v>Коммунальное хозяйство</v>
      </c>
      <c r="B118" s="233"/>
      <c r="C118" s="234">
        <v>502</v>
      </c>
      <c r="D118" s="235"/>
      <c r="E118" s="236"/>
      <c r="F118" s="221">
        <v>95617</v>
      </c>
      <c r="G118" s="221">
        <f>G119</f>
        <v>95617</v>
      </c>
    </row>
    <row r="119" spans="1:7" s="20" customFormat="1" ht="21" customHeight="1">
      <c r="A119" s="231" t="str">
        <f>IF(B119&gt;0,VLOOKUP(B119,КВСР!A103:B1268,2),IF(C119&gt;0,VLOOKUP(C119,КФСР!A103:B1615,2),IF(D119&gt;0,VLOOKUP(D119,КЦСР!A103:B4096,2),IF(E119&gt;0,VLOOKUP(E119,КВР!A103:B2034,2)))))</f>
        <v>Поддержка коммунального хозяйства</v>
      </c>
      <c r="B119" s="233"/>
      <c r="C119" s="234"/>
      <c r="D119" s="235">
        <v>3510000</v>
      </c>
      <c r="E119" s="236"/>
      <c r="F119" s="221">
        <v>95617</v>
      </c>
      <c r="G119" s="221">
        <f>G120</f>
        <v>95617</v>
      </c>
    </row>
    <row r="120" spans="1:7" s="20" customFormat="1" ht="47.25" customHeight="1">
      <c r="A120" s="231" t="str">
        <f>IF(B120&gt;0,VLOOKUP(B120,КВСР!A104:B1269,2),IF(C120&gt;0,VLOOKUP(C120,КФСР!A104:B1616,2),IF(D120&gt;0,VLOOKUP(D120,КЦСР!A104:B4097,2),IF(E120&gt;0,VLOOKUP(E120,КВР!A104:B2035,2)))))</f>
        <v>Субсидия на реализацию мероприятий по подготовке к зиме объектов коммунального назначения</v>
      </c>
      <c r="B120" s="233"/>
      <c r="C120" s="234"/>
      <c r="D120" s="235">
        <v>3510900</v>
      </c>
      <c r="F120" s="221">
        <v>95617</v>
      </c>
      <c r="G120" s="221">
        <f>G121</f>
        <v>95617</v>
      </c>
    </row>
    <row r="121" spans="1:7" s="20" customFormat="1" ht="33" customHeight="1">
      <c r="A121" s="231" t="str">
        <f>IF(B121&gt;0,VLOOKUP(B121,КВСР!A105:B1270,2),IF(C121&gt;0,VLOOKUP(C121,КФСР!A105:B1617,2),IF(D121&gt;0,VLOOKUP(D121,КЦСР!A105:B4098,2),IF(E121&gt;0,VLOOKUP(E121,КВР!A105:B2036,2)))))</f>
        <v>Прочая закупка товаров, работ и услуг для государственных нужд</v>
      </c>
      <c r="B121" s="233"/>
      <c r="C121" s="234"/>
      <c r="D121" s="235"/>
      <c r="E121" s="236">
        <v>244</v>
      </c>
      <c r="F121" s="221">
        <v>95617</v>
      </c>
      <c r="G121" s="221">
        <v>95617</v>
      </c>
    </row>
    <row r="122" spans="1:7" s="20" customFormat="1" ht="33" hidden="1" customHeight="1">
      <c r="A122" s="231" t="str">
        <f>IF(B122&gt;0,VLOOKUP(B122,КВСР!A106:B1271,2),IF(C122&gt;0,VLOOKUP(C122,КФСР!A106:B1618,2),IF(D122&gt;0,VLOOKUP(D122,КЦСР!A106:B4099,2),IF(E122&gt;0,VLOOKUP(E122,КВР!A106:B2037,2)))))</f>
        <v>Другие вопросы в области охраны окружающей среды</v>
      </c>
      <c r="B122" s="233"/>
      <c r="C122" s="234">
        <v>605</v>
      </c>
      <c r="D122" s="235"/>
      <c r="E122" s="236"/>
      <c r="F122" s="221">
        <v>1480</v>
      </c>
      <c r="G122" s="221">
        <f>G123</f>
        <v>0</v>
      </c>
    </row>
    <row r="123" spans="1:7" s="20" customFormat="1" ht="33" hidden="1" customHeight="1">
      <c r="A123" s="231" t="str">
        <f>IF(B123&gt;0,VLOOKUP(B123,КВСР!A107:B1272,2),IF(C123&gt;0,VLOOKUP(C123,КФСР!A107:B1619,2),IF(D123&gt;0,VLOOKUP(D123,КЦСР!A107:B4100,2),IF(E123&gt;0,VLOOKUP(E123,КВР!A107:B2038,2)))))</f>
        <v>Состояние окружающей среды и природопользования</v>
      </c>
      <c r="B123" s="233"/>
      <c r="C123" s="234"/>
      <c r="D123" s="235">
        <v>4100000</v>
      </c>
      <c r="E123" s="236"/>
      <c r="F123" s="221">
        <v>1480</v>
      </c>
      <c r="G123" s="221">
        <f>G124</f>
        <v>0</v>
      </c>
    </row>
    <row r="124" spans="1:7" s="20" customFormat="1" ht="21" hidden="1" customHeight="1">
      <c r="A124" s="231" t="str">
        <f>IF(B124&gt;0,VLOOKUP(B124,КВСР!A108:B1273,2),IF(C124&gt;0,VLOOKUP(C124,КФСР!A108:B1620,2),IF(D124&gt;0,VLOOKUP(D124,КЦСР!A108:B4101,2),IF(E124&gt;0,VLOOKUP(E124,КВР!A108:B2039,2)))))</f>
        <v>Природоохранные мероприятия</v>
      </c>
      <c r="B124" s="233"/>
      <c r="C124" s="234"/>
      <c r="D124" s="235">
        <v>4100100</v>
      </c>
      <c r="F124" s="221">
        <v>1480</v>
      </c>
      <c r="G124" s="221">
        <f>G125</f>
        <v>0</v>
      </c>
    </row>
    <row r="125" spans="1:7" s="20" customFormat="1" ht="33" hidden="1" customHeight="1">
      <c r="A125" s="231" t="str">
        <f>IF(B125&gt;0,VLOOKUP(B125,КВСР!A109:B1274,2),IF(C125&gt;0,VLOOKUP(C125,КФСР!A109:B1621,2),IF(D125&gt;0,VLOOKUP(D125,КЦСР!A109:B4102,2),IF(E125&gt;0,VLOOKUP(E125,КВР!A109:B2040,2)))))</f>
        <v>Прочая закупка товаров, работ и услуг для государственных нужд</v>
      </c>
      <c r="B125" s="233"/>
      <c r="C125" s="234"/>
      <c r="D125" s="235"/>
      <c r="E125" s="236">
        <v>244</v>
      </c>
      <c r="F125" s="221">
        <v>1480</v>
      </c>
      <c r="G125" s="221">
        <v>0</v>
      </c>
    </row>
    <row r="126" spans="1:7" s="20" customFormat="1">
      <c r="A126" s="231" t="str">
        <f>IF(B126&gt;0,VLOOKUP(B126,КВСР!A110:B1275,2),IF(C126&gt;0,VLOOKUP(C126,КФСР!A110:B1622,2),IF(D126&gt;0,VLOOKUP(D126,КЦСР!A110:B4103,2),IF(E126&gt;0,VLOOKUP(E126,КВР!A110:B2041,2)))))</f>
        <v>Социальное обеспечение населения</v>
      </c>
      <c r="B126" s="233"/>
      <c r="C126" s="234">
        <v>1003</v>
      </c>
      <c r="D126" s="238"/>
      <c r="E126" s="236"/>
      <c r="F126" s="221">
        <v>164500</v>
      </c>
      <c r="G126" s="221">
        <f>G129+G131+G135+G139</f>
        <v>164466</v>
      </c>
    </row>
    <row r="127" spans="1:7" s="20" customFormat="1" ht="34.5" hidden="1" customHeight="1">
      <c r="A127" s="231" t="str">
        <f>IF(B127&gt;0,VLOOKUP(B127,КВСР!A111:B1276,2),IF(C127&gt;0,VLOOKUP(C127,КФСР!A111:B1623,2),IF(D127&gt;0,VLOOKUP(D127,КЦСР!A111:B4104,2),IF(E127&gt;0,VLOOKUP(E127,КВР!A111:B2042,2)))))</f>
        <v>Федеральные целевые программы</v>
      </c>
      <c r="B127" s="233"/>
      <c r="C127" s="234"/>
      <c r="D127" s="235">
        <v>1000000</v>
      </c>
      <c r="E127" s="236"/>
      <c r="F127" s="221">
        <v>0</v>
      </c>
      <c r="G127" s="221">
        <f>G128</f>
        <v>0</v>
      </c>
    </row>
    <row r="128" spans="1:7" s="20" customFormat="1" ht="119.25" hidden="1" customHeight="1">
      <c r="A128" s="231" t="str">
        <f>IF(B128&gt;0,VLOOKUP(B128,КВСР!A112:B1277,2),IF(C128&gt;0,VLOOKUP(C128,КФСР!A112:B1624,2),IF(D128&gt;0,VLOOKUP(D128,КЦСР!A112:B4105,2),IF(E128&gt;0,VLOOKUP(E128,КВР!A112:B2043,2)))))</f>
        <v>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v>
      </c>
      <c r="B128" s="233"/>
      <c r="C128" s="234"/>
      <c r="D128" s="237">
        <v>1001100</v>
      </c>
      <c r="E128" s="236"/>
      <c r="F128" s="221">
        <v>0</v>
      </c>
      <c r="G128" s="221">
        <f>G129</f>
        <v>0</v>
      </c>
    </row>
    <row r="129" spans="1:7" s="20" customFormat="1" ht="110.25" hidden="1">
      <c r="A129" s="231" t="str">
        <f>IF(B129&gt;0,VLOOKUP(B129,КВСР!A113:B1278,2),IF(C129&gt;0,VLOOKUP(C129,КФСР!A113:B1625,2),IF(D129&gt;0,VLOOKUP(D129,КЦСР!A113:B4106,2),IF(E129&gt;0,VLOOKUP(E129,КВР!A113:B2044,2)))))</f>
        <v>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v>
      </c>
      <c r="B129" s="233"/>
      <c r="C129" s="234"/>
      <c r="D129" s="235">
        <v>1001122</v>
      </c>
      <c r="F129" s="221">
        <v>0</v>
      </c>
      <c r="G129" s="221">
        <f>G130</f>
        <v>0</v>
      </c>
    </row>
    <row r="130" spans="1:7" s="20" customFormat="1" ht="31.5" hidden="1">
      <c r="A130" s="231" t="str">
        <f>IF(B130&gt;0,VLOOKUP(B130,КВСР!A114:B1279,2),IF(C130&gt;0,VLOOKUP(C130,КФСР!A114:B1626,2),IF(D130&gt;0,VLOOKUP(D130,КЦСР!A114:B4107,2),IF(E130&gt;0,VLOOKUP(E130,КВР!A114:B2045,2)))))</f>
        <v>Субсидии гражданам на приобретение жилья</v>
      </c>
      <c r="B130" s="233"/>
      <c r="C130" s="234"/>
      <c r="D130" s="235"/>
      <c r="E130" s="236">
        <v>322</v>
      </c>
      <c r="F130" s="221">
        <v>0</v>
      </c>
      <c r="G130" s="221"/>
    </row>
    <row r="131" spans="1:7" s="20" customFormat="1" ht="49.5" hidden="1" customHeight="1">
      <c r="A131" s="231" t="str">
        <f>IF(B131&gt;0,VLOOKUP(B131,КВСР!A115:B1280,2),IF(C131&gt;0,VLOOKUP(C131,КФСР!A115:B1627,2),IF(D131&gt;0,VLOOKUP(D131,КЦСР!A115:B4108,2),IF(E131&gt;0,VLOOKUP(E131,КВР!A115:B2046,2)))))</f>
        <v>Реализация мероприятий федеральной целевой программы "Социальное развитие села до 2013 года"</v>
      </c>
      <c r="B131" s="233"/>
      <c r="C131" s="234"/>
      <c r="D131" s="235">
        <v>1001199</v>
      </c>
      <c r="F131" s="221">
        <v>0</v>
      </c>
      <c r="G131" s="221">
        <f>G132</f>
        <v>0</v>
      </c>
    </row>
    <row r="132" spans="1:7" s="20" customFormat="1" ht="30.75" hidden="1" customHeight="1">
      <c r="A132" s="231" t="str">
        <f>IF(B132&gt;0,VLOOKUP(B132,КВСР!A116:B1281,2),IF(C132&gt;0,VLOOKUP(C132,КФСР!A116:B1628,2),IF(D132&gt;0,VLOOKUP(D132,КЦСР!A116:B4109,2),IF(E132&gt;0,VLOOKUP(E132,КВР!A116:B2047,2)))))</f>
        <v>Субсидии гражданам на приобретение жилья</v>
      </c>
      <c r="B132" s="233"/>
      <c r="C132" s="234"/>
      <c r="D132" s="235"/>
      <c r="E132" s="236">
        <v>322</v>
      </c>
      <c r="F132" s="221">
        <v>0</v>
      </c>
      <c r="G132" s="221"/>
    </row>
    <row r="133" spans="1:7" s="20" customFormat="1" hidden="1">
      <c r="A133" s="231" t="str">
        <f>IF(B133&gt;0,VLOOKUP(B133,КВСР!A117:B1282,2),IF(C133&gt;0,VLOOKUP(C133,КФСР!A117:B1629,2),IF(D133&gt;0,VLOOKUP(D133,КЦСР!A117:B4110,2),IF(E133&gt;0,VLOOKUP(E133,КВР!A117:B2048,2)))))</f>
        <v>Региональные целевые программы</v>
      </c>
      <c r="B133" s="238"/>
      <c r="C133" s="238"/>
      <c r="D133" s="235">
        <v>5220000</v>
      </c>
      <c r="E133" s="236"/>
      <c r="F133" s="221">
        <v>0</v>
      </c>
      <c r="G133" s="221">
        <f>G134</f>
        <v>0</v>
      </c>
    </row>
    <row r="134" spans="1:7" s="20" customFormat="1" ht="31.5" hidden="1">
      <c r="A134" s="231" t="str">
        <f>IF(B134&gt;0,VLOOKUP(B134,КВСР!A118:B1283,2),IF(C134&gt;0,VLOOKUP(C134,КФСР!A118:B1630,2),IF(D134&gt;0,VLOOKUP(D134,КЦСР!A118:B4111,2),IF(E134&gt;0,VLOOKUP(E134,КВР!A118:B2049,2)))))</f>
        <v>Областная комплексная целевая программа "Семья и дети Ярославии"</v>
      </c>
      <c r="B134" s="233"/>
      <c r="C134" s="234"/>
      <c r="D134" s="235">
        <v>5221300</v>
      </c>
      <c r="E134" s="236"/>
      <c r="F134" s="221">
        <v>0</v>
      </c>
      <c r="G134" s="221">
        <f>G135</f>
        <v>0</v>
      </c>
    </row>
    <row r="135" spans="1:7" s="20" customFormat="1" ht="78.75" hidden="1">
      <c r="A135" s="231" t="str">
        <f>IF(B135&gt;0,VLOOKUP(B135,КВСР!A119:B1284,2),IF(C135&gt;0,VLOOKUP(C135,КФСР!A119:B1631,2),IF(D135&gt;0,VLOOKUP(D135,КЦСР!A119:B4112,2),IF(E135&gt;0,VLOOKUP(E135,КВР!A119:B2050,2)))))</f>
        <v>Подпрограмма "Ярославские каникулы" в части компенсации стоимости санаторно-курортной путевки лицам, нуждающимся в санаторно-курортном лечении</v>
      </c>
      <c r="B135" s="233"/>
      <c r="C135" s="234"/>
      <c r="D135" s="235">
        <v>5221314</v>
      </c>
      <c r="F135" s="221">
        <v>0</v>
      </c>
      <c r="G135" s="221">
        <f>G136</f>
        <v>0</v>
      </c>
    </row>
    <row r="136" spans="1:7" s="20" customFormat="1" ht="31.5" hidden="1">
      <c r="A136" s="231" t="str">
        <f>IF(B136&gt;0,VLOOKUP(B136,КВСР!A120:B1285,2),IF(C136&gt;0,VLOOKUP(C136,КФСР!A120:B1632,2),IF(D136&gt;0,VLOOKUP(D136,КЦСР!A120:B4113,2),IF(E136&gt;0,VLOOKUP(E136,КВР!A120:B2051,2)))))</f>
        <v>Приобретение товаров, работ, услуг в пользу граждан</v>
      </c>
      <c r="B136" s="233"/>
      <c r="C136" s="234"/>
      <c r="D136" s="235"/>
      <c r="E136" s="236">
        <v>323</v>
      </c>
      <c r="F136" s="221">
        <v>0</v>
      </c>
      <c r="G136" s="221"/>
    </row>
    <row r="137" spans="1:7" s="20" customFormat="1">
      <c r="A137" s="231" t="str">
        <f>IF(B137&gt;0,VLOOKUP(B137,КВСР!A121:B1286,2),IF(C137&gt;0,VLOOKUP(C137,КФСР!A121:B1633,2),IF(D137&gt;0,VLOOKUP(D137,КЦСР!A121:B4114,2),IF(E137&gt;0,VLOOKUP(E137,КВР!A121:B2052,2)))))</f>
        <v>Социальная помощь</v>
      </c>
      <c r="B137" s="233"/>
      <c r="C137" s="234"/>
      <c r="D137" s="235">
        <v>5050000</v>
      </c>
      <c r="E137" s="236"/>
      <c r="F137" s="221">
        <v>164500</v>
      </c>
      <c r="G137" s="221">
        <f>G138</f>
        <v>164466</v>
      </c>
    </row>
    <row r="138" spans="1:7" s="20" customFormat="1" ht="31.5">
      <c r="A138" s="231" t="str">
        <f>IF(B138&gt;0,VLOOKUP(B138,КВСР!A122:B1287,2),IF(C138&gt;0,VLOOKUP(C138,КФСР!A122:B1634,2),IF(D138&gt;0,VLOOKUP(D138,КЦСР!A122:B4115,2),IF(E138&gt;0,VLOOKUP(E138,КВР!A122:B2053,2)))))</f>
        <v>Оказание других видов социальной помощи</v>
      </c>
      <c r="B138" s="233"/>
      <c r="C138" s="234"/>
      <c r="D138" s="235">
        <v>5058600</v>
      </c>
      <c r="E138" s="236"/>
      <c r="F138" s="221">
        <v>164500</v>
      </c>
      <c r="G138" s="221">
        <f>G139</f>
        <v>164466</v>
      </c>
    </row>
    <row r="139" spans="1:7" s="20" customFormat="1" ht="31.5">
      <c r="A139" s="231" t="str">
        <f>IF(B139&gt;0,VLOOKUP(B139,КВСР!A123:B1288,2),IF(C139&gt;0,VLOOKUP(C139,КФСР!A123:B1635,2),IF(D139&gt;0,VLOOKUP(D139,КЦСР!A123:B4116,2),IF(E139&gt;0,VLOOKUP(E139,КВР!A123:B2054,2)))))</f>
        <v>Оказание других видов социальной помощи по решению суда</v>
      </c>
      <c r="B139" s="233"/>
      <c r="C139" s="234"/>
      <c r="D139" s="235">
        <v>5058610</v>
      </c>
      <c r="F139" s="221">
        <v>164500</v>
      </c>
      <c r="G139" s="221">
        <f>G140</f>
        <v>164466</v>
      </c>
    </row>
    <row r="140" spans="1:7" s="20" customFormat="1" ht="31.5">
      <c r="A140" s="231" t="str">
        <f>IF(B140&gt;0,VLOOKUP(B140,КВСР!A124:B1289,2),IF(C140&gt;0,VLOOKUP(C140,КФСР!A124:B1636,2),IF(D140&gt;0,VLOOKUP(D140,КЦСР!A124:B4117,2),IF(E140&gt;0,VLOOKUP(E140,КВР!A124:B2055,2)))))</f>
        <v>Приобретение товаров, работ, услуг в пользу граждан</v>
      </c>
      <c r="B140" s="233"/>
      <c r="C140" s="234"/>
      <c r="D140" s="235"/>
      <c r="E140" s="236">
        <v>323</v>
      </c>
      <c r="F140" s="221">
        <v>164500</v>
      </c>
      <c r="G140" s="221">
        <v>164466</v>
      </c>
    </row>
    <row r="141" spans="1:7" s="22" customFormat="1" ht="31.5">
      <c r="A141" s="226" t="str">
        <f>IF(B141&gt;0,VLOOKUP(B141,КВСР!A56:B1221,2),IF(C142&gt;0,VLOOKUP(C142,КФСР!A56:B1568,2),IF(D141&gt;0,VLOOKUP(D141,КЦСР!A56:B4060,2),IF(#REF!&gt;0,VLOOKUP(#REF!,КВР!A56:B1987,2)))))</f>
        <v>Департамент муниципального имущества Администрации ТМР</v>
      </c>
      <c r="B141" s="227">
        <v>952</v>
      </c>
      <c r="C141" s="234"/>
      <c r="D141" s="229"/>
      <c r="E141" s="236"/>
      <c r="F141" s="222">
        <v>22289192</v>
      </c>
      <c r="G141" s="222">
        <f>G142+G167+G175+G180</f>
        <v>22229727</v>
      </c>
    </row>
    <row r="142" spans="1:7" s="22" customFormat="1" ht="21" customHeight="1">
      <c r="A142" s="231" t="str">
        <f>IF(B142&gt;0,VLOOKUP(B142,КВСР!A126:B1291,2),IF(C142&gt;0,VLOOKUP(C142,КФСР!A126:B1638,2),IF(D142&gt;0,VLOOKUP(D142,КЦСР!A126:B4119,2),IF(E142&gt;0,VLOOKUP(E142,КВР!A126:B2057,2)))))</f>
        <v>Другие общегосударственные вопросы</v>
      </c>
      <c r="B142" s="233"/>
      <c r="C142" s="228">
        <v>113</v>
      </c>
      <c r="D142" s="235"/>
      <c r="E142" s="236"/>
      <c r="F142" s="221">
        <v>7938192</v>
      </c>
      <c r="G142" s="221">
        <f>G144+G153+G156+G159+G163</f>
        <v>7886229</v>
      </c>
    </row>
    <row r="143" spans="1:7" s="22" customFormat="1" ht="78.75">
      <c r="A143" s="231" t="str">
        <f>IF(B143&gt;0,VLOOKUP(B143,КВСР!A127:B1292,2),IF(C143&gt;0,VLOOKUP(C143,КФСР!A127:B1639,2),IF(D143&gt;0,VLOOKUP(D143,КЦСР!A127:B4120,2),IF(E143&gt;0,VLOOKUP(E143,КВР!A127:B2058,2)))))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143" s="233"/>
      <c r="C143" s="255"/>
      <c r="D143" s="235">
        <v>20000</v>
      </c>
      <c r="E143" s="236"/>
      <c r="F143" s="221">
        <v>5772521</v>
      </c>
      <c r="G143" s="221">
        <f>G144</f>
        <v>5767284</v>
      </c>
    </row>
    <row r="144" spans="1:7" s="22" customFormat="1">
      <c r="A144" s="231" t="str">
        <f>IF(B144&gt;0,VLOOKUP(B144,КВСР!A128:B1293,2),IF(C144&gt;0,VLOOKUP(C144,КФСР!A128:B1640,2),IF(D144&gt;0,VLOOKUP(D144,КЦСР!A128:B4121,2),IF(E144&gt;0,VLOOKUP(E144,КВР!A128:B2059,2)))))</f>
        <v>Центральный аппарат</v>
      </c>
      <c r="B144" s="233"/>
      <c r="C144" s="234"/>
      <c r="D144" s="235">
        <v>20400</v>
      </c>
      <c r="F144" s="221">
        <v>5772521</v>
      </c>
      <c r="G144" s="221">
        <f>SUM(G145:G151)</f>
        <v>5767284</v>
      </c>
    </row>
    <row r="145" spans="1:7" s="22" customFormat="1" ht="31.5">
      <c r="A145" s="231" t="str">
        <f>IF(B145&gt;0,VLOOKUP(B145,КВСР!A129:B1294,2),IF(C145&gt;0,VLOOKUP(C145,КФСР!A129:B1641,2),IF(D145&gt;0,VLOOKUP(D145,КЦСР!A129:B4122,2),IF(E145&gt;0,VLOOKUP(E145,КВР!A129:B2060,2)))))</f>
        <v>Фонд оплаты труда и страховые взносы</v>
      </c>
      <c r="B145" s="233"/>
      <c r="C145" s="234"/>
      <c r="D145" s="229"/>
      <c r="E145" s="236">
        <v>121</v>
      </c>
      <c r="F145" s="221">
        <v>5018321</v>
      </c>
      <c r="G145" s="221">
        <v>5020487</v>
      </c>
    </row>
    <row r="146" spans="1:7" s="22" customFormat="1" ht="31.5">
      <c r="A146" s="231" t="str">
        <f>IF(B146&gt;0,VLOOKUP(B146,КВСР!A130:B1295,2),IF(C146&gt;0,VLOOKUP(C146,КФСР!A130:B1642,2),IF(D146&gt;0,VLOOKUP(D146,КЦСР!A130:B4123,2),IF(E146&gt;0,VLOOKUP(E146,КВР!A130:B2061,2)))))</f>
        <v>Иные выплаты персоналу, за исключением фонда оплаты труда</v>
      </c>
      <c r="B146" s="233"/>
      <c r="C146" s="234"/>
      <c r="D146" s="229"/>
      <c r="E146" s="236">
        <v>122</v>
      </c>
      <c r="F146" s="221">
        <v>1200</v>
      </c>
      <c r="G146" s="221">
        <v>1038</v>
      </c>
    </row>
    <row r="147" spans="1:7" s="22" customFormat="1" ht="47.25">
      <c r="A147" s="231" t="str">
        <f>IF(B147&gt;0,VLOOKUP(B147,КВСР!A131:B1296,2),IF(C147&gt;0,VLOOKUP(C147,КФСР!A131:B1643,2),IF(D147&gt;0,VLOOKUP(D147,КЦСР!A131:B4124,2),IF(E147&gt;0,VLOOKUP(E147,КВР!A131:B2062,2)))))</f>
        <v>Закупка товаров, работ, услуг в сфере информационно-коммуникационных технологий</v>
      </c>
      <c r="B147" s="233"/>
      <c r="C147" s="234"/>
      <c r="D147" s="229"/>
      <c r="E147" s="236">
        <v>242</v>
      </c>
      <c r="F147" s="221">
        <v>543825</v>
      </c>
      <c r="G147" s="221">
        <v>539116</v>
      </c>
    </row>
    <row r="148" spans="1:7" s="22" customFormat="1" ht="31.5">
      <c r="A148" s="231" t="str">
        <f>IF(B148&gt;0,VLOOKUP(B148,КВСР!A132:B1297,2),IF(C148&gt;0,VLOOKUP(C148,КФСР!A132:B1644,2),IF(D148&gt;0,VLOOKUP(D148,КЦСР!A132:B4125,2),IF(E148&gt;0,VLOOKUP(E148,КВР!A132:B2063,2)))))</f>
        <v>Прочая закупка товаров, работ и услуг для государственных нужд</v>
      </c>
      <c r="B148" s="233"/>
      <c r="C148" s="234"/>
      <c r="D148" s="229"/>
      <c r="E148" s="236">
        <v>244</v>
      </c>
      <c r="F148" s="221">
        <v>147175</v>
      </c>
      <c r="G148" s="221">
        <v>146214</v>
      </c>
    </row>
    <row r="149" spans="1:7" s="22" customFormat="1" ht="157.5">
      <c r="A149" s="231" t="str">
        <f>IF(B149&gt;0,VLOOKUP(B149,КВСР!A133:B1298,2),IF(C149&gt;0,VLOOKUP(C149,КФСР!A133:B1645,2),IF(D149&gt;0,VLOOKUP(D149,КЦСР!A133:B4126,2),IF(E149&gt;0,VLOOKUP(E149,КВР!A133:B2064,2)))))</f>
        <v>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v>
      </c>
      <c r="B149" s="233"/>
      <c r="C149" s="234"/>
      <c r="D149" s="229"/>
      <c r="E149" s="236">
        <v>831</v>
      </c>
      <c r="F149" s="221">
        <v>4000</v>
      </c>
      <c r="G149" s="221">
        <v>4000</v>
      </c>
    </row>
    <row r="150" spans="1:7" s="22" customFormat="1" ht="31.5">
      <c r="A150" s="231" t="str">
        <f>IF(B150&gt;0,VLOOKUP(B150,КВСР!A134:B1299,2),IF(C150&gt;0,VLOOKUP(C150,КФСР!A134:B1646,2),IF(D150&gt;0,VLOOKUP(D150,КЦСР!A134:B4127,2),IF(E150&gt;0,VLOOKUP(E150,КВР!A134:B2065,2)))))</f>
        <v>Уплата налога на имущество организаций и земельного налога</v>
      </c>
      <c r="B150" s="233"/>
      <c r="C150" s="234"/>
      <c r="D150" s="229"/>
      <c r="E150" s="236">
        <v>851</v>
      </c>
      <c r="F150" s="221">
        <v>3000</v>
      </c>
      <c r="G150" s="221">
        <v>1818</v>
      </c>
    </row>
    <row r="151" spans="1:7" s="22" customFormat="1" ht="39.75" customHeight="1">
      <c r="A151" s="231" t="str">
        <f>IF(B151&gt;0,VLOOKUP(B151,КВСР!A135:B1300,2),IF(C151&gt;0,VLOOKUP(C151,КФСР!A135:B1647,2),IF(D151&gt;0,VLOOKUP(D151,КЦСР!A135:B4128,2),IF(E151&gt;0,VLOOKUP(E151,КВР!A135:B2066,2)))))</f>
        <v>Уплата прочих налогов, сборов и иных обязательных платежей</v>
      </c>
      <c r="B151" s="233"/>
      <c r="C151" s="234"/>
      <c r="D151" s="229"/>
      <c r="E151" s="236">
        <v>852</v>
      </c>
      <c r="F151" s="221">
        <v>55000</v>
      </c>
      <c r="G151" s="221">
        <v>54611</v>
      </c>
    </row>
    <row r="152" spans="1:7" s="22" customFormat="1" ht="63">
      <c r="A152" s="231" t="str">
        <f>IF(B152&gt;0,VLOOKUP(B152,КВСР!A136:B1301,2),IF(C152&gt;0,VLOOKUP(C152,КФСР!A136:B1648,2),IF(D152&gt;0,VLOOKUP(D152,КЦСР!A136:B4129,2),IF(E152&gt;0,VLOOKUP(E152,КВР!A136:B2067,2)))))</f>
        <v>Реализация государственной политики в области приватизации и управления государственной и муниципальной собственностью</v>
      </c>
      <c r="B152" s="233"/>
      <c r="C152" s="234"/>
      <c r="D152" s="229">
        <v>900000</v>
      </c>
      <c r="E152" s="236"/>
      <c r="F152" s="221">
        <v>490000</v>
      </c>
      <c r="G152" s="221">
        <f>G153</f>
        <v>475505</v>
      </c>
    </row>
    <row r="153" spans="1:7" s="22" customFormat="1" ht="63">
      <c r="A153" s="231" t="str">
        <f>IF(B153&gt;0,VLOOKUP(B153,КВСР!A137:B1302,2),IF(C153&gt;0,VLOOKUP(C153,КФСР!A137:B1649,2),IF(D153&gt;0,VLOOKUP(D153,КЦСР!A137:B4130,2),IF(E153&gt;0,VLOOKUP(E153,КВР!A137:B2068,2)))))</f>
        <v>Оценка недвижимости, признание прав и регулирование отношений по государственной и муниципальной собственности</v>
      </c>
      <c r="B153" s="233"/>
      <c r="C153" s="234"/>
      <c r="D153" s="235">
        <v>900200</v>
      </c>
      <c r="F153" s="221">
        <v>490000</v>
      </c>
      <c r="G153" s="221">
        <f>G154</f>
        <v>475505</v>
      </c>
    </row>
    <row r="154" spans="1:7" s="22" customFormat="1" ht="31.5">
      <c r="A154" s="231" t="str">
        <f>IF(B154&gt;0,VLOOKUP(B154,КВСР!A138:B1303,2),IF(C154&gt;0,VLOOKUP(C154,КФСР!A138:B1650,2),IF(D154&gt;0,VLOOKUP(D154,КЦСР!A138:B4131,2),IF(E154&gt;0,VLOOKUP(E154,КВР!A138:B2069,2)))))</f>
        <v>Прочая закупка товаров, работ и услуг для государственных нужд</v>
      </c>
      <c r="B154" s="233"/>
      <c r="C154" s="234"/>
      <c r="D154" s="235"/>
      <c r="E154" s="236">
        <v>244</v>
      </c>
      <c r="F154" s="221">
        <v>490000</v>
      </c>
      <c r="G154" s="221">
        <v>475505</v>
      </c>
    </row>
    <row r="155" spans="1:7" s="22" customFormat="1" ht="47.25">
      <c r="A155" s="231" t="str">
        <f>IF(B155&gt;0,VLOOKUP(B155,КВСР!A139:B1304,2),IF(C155&gt;0,VLOOKUP(C155,КФСР!A139:B1651,2),IF(D155&gt;0,VLOOKUP(D155,КЦСР!A139:B4132,2),IF(E155&gt;0,VLOOKUP(E155,КВР!A139:B2070,2)))))</f>
        <v>Реализация государственных функций, связанных с общегосударственным управлением</v>
      </c>
      <c r="B155" s="233"/>
      <c r="C155" s="234"/>
      <c r="D155" s="235">
        <v>920000</v>
      </c>
      <c r="E155" s="236"/>
      <c r="F155" s="221">
        <v>1369999</v>
      </c>
      <c r="G155" s="221">
        <f>G156</f>
        <v>1237769</v>
      </c>
    </row>
    <row r="156" spans="1:7" s="22" customFormat="1" ht="31.5">
      <c r="A156" s="231" t="str">
        <f>IF(B156&gt;0,VLOOKUP(B156,КВСР!A140:B1305,2),IF(C156&gt;0,VLOOKUP(C156,КФСР!A140:B1652,2),IF(D156&gt;0,VLOOKUP(D156,КЦСР!A140:B4133,2),IF(E156&gt;0,VLOOKUP(E156,КВР!A140:B2071,2)))))</f>
        <v>Выполнение других обязательств государства</v>
      </c>
      <c r="B156" s="233"/>
      <c r="C156" s="234"/>
      <c r="D156" s="235">
        <v>920300</v>
      </c>
      <c r="F156" s="221">
        <v>1270000</v>
      </c>
      <c r="G156" s="221">
        <f>G157</f>
        <v>1237769</v>
      </c>
    </row>
    <row r="157" spans="1:7" s="22" customFormat="1" ht="31.5">
      <c r="A157" s="231" t="str">
        <f>IF(B157&gt;0,VLOOKUP(B157,КВСР!A141:B1306,2),IF(C157&gt;0,VLOOKUP(C157,КФСР!A141:B1653,2),IF(D157&gt;0,VLOOKUP(D157,КЦСР!A141:B4134,2),IF(E157&gt;0,VLOOKUP(E157,КВР!A141:B2072,2)))))</f>
        <v>Прочая закупка товаров, работ и услуг для государственных нужд</v>
      </c>
      <c r="B157" s="233"/>
      <c r="C157" s="234"/>
      <c r="D157" s="235"/>
      <c r="E157" s="236">
        <v>244</v>
      </c>
      <c r="F157" s="221">
        <v>1270000</v>
      </c>
      <c r="G157" s="221">
        <v>1237769</v>
      </c>
    </row>
    <row r="158" spans="1:7" s="22" customFormat="1" ht="50.25" customHeight="1">
      <c r="A158" s="231" t="str">
        <f>IF(B158&gt;0,VLOOKUP(B158,КВСР!A142:B1307,2),IF(C158&gt;0,VLOOKUP(C158,КФСР!A142:B1654,2),IF(D158&gt;0,VLOOKUP(D158,КЦСР!A142:B4135,2),IF(E158&gt;0,VLOOKUP(E158,КВР!A142:B2073,2)))))</f>
        <v>Программа энергосбережения и повышения энергетической эффективности на период до 2020 года</v>
      </c>
      <c r="B158" s="233"/>
      <c r="C158" s="234"/>
      <c r="D158" s="235">
        <v>923400</v>
      </c>
      <c r="E158" s="236"/>
      <c r="F158" s="221">
        <v>99999</v>
      </c>
      <c r="G158" s="221">
        <f>G159</f>
        <v>99999</v>
      </c>
    </row>
    <row r="159" spans="1:7" s="22" customFormat="1" ht="117.75" customHeight="1">
      <c r="A159" s="231" t="str">
        <f>IF(B159&gt;0,VLOOKUP(B159,КВСР!A143:B1308,2),IF(C159&gt;0,VLOOKUP(C159,КФСР!A143:B1655,2),IF(D159&gt;0,VLOOKUP(D159,КЦСР!A143:B4136,2),IF(E159&gt;0,VLOOKUP(E159,КВР!A143:B2074,2)))))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159" s="233"/>
      <c r="C159" s="234"/>
      <c r="D159" s="235">
        <v>923403</v>
      </c>
      <c r="E159" s="330"/>
      <c r="F159" s="221">
        <v>99999</v>
      </c>
      <c r="G159" s="221">
        <f>G160</f>
        <v>99999</v>
      </c>
    </row>
    <row r="160" spans="1:7" s="22" customFormat="1" ht="31.5">
      <c r="A160" s="231" t="str">
        <f>IF(B160&gt;0,VLOOKUP(B160,КВСР!A74:B1239,2),IF(C161&gt;0,VLOOKUP(C161,КФСР!A74:B1586,2),IF(D160&gt;0,VLOOKUP(D160,КЦСР!A74:B4078,2),IF(E160&gt;0,VLOOKUP(E160,КВР!A74:B2005,2)))))</f>
        <v>Прочая закупка товаров, работ и услуг для государственных нужд</v>
      </c>
      <c r="B160" s="233"/>
      <c r="C160" s="234"/>
      <c r="D160" s="235"/>
      <c r="E160" s="236">
        <v>244</v>
      </c>
      <c r="F160" s="221">
        <v>99999</v>
      </c>
      <c r="G160" s="221">
        <v>99999</v>
      </c>
    </row>
    <row r="161" spans="1:7" s="22" customFormat="1" ht="31.5">
      <c r="A161" s="231" t="str">
        <f>IF(B161&gt;0,VLOOKUP(B161,КВСР!A75:B1240,2),IF(C162&gt;0,VLOOKUP(C162,КФСР!A75:B1587,2),IF(D161&gt;0,VLOOKUP(D161,КЦСР!A75:B4079,2),IF(E161&gt;0,VLOOKUP(E161,КВР!A75:B2006,2)))))</f>
        <v>Иные безвозмездные и безвозвратные перечисления</v>
      </c>
      <c r="B161" s="233"/>
      <c r="C161" s="234"/>
      <c r="D161" s="235">
        <v>5200000</v>
      </c>
      <c r="E161" s="236"/>
      <c r="F161" s="221">
        <v>305672</v>
      </c>
      <c r="G161" s="221">
        <f>G162</f>
        <v>305672</v>
      </c>
    </row>
    <row r="162" spans="1:7" s="22" customFormat="1" ht="47.25">
      <c r="A162" s="231" t="str">
        <f>IF(B162&gt;0,VLOOKUP(B162,КВСР!A76:B1241,2),IF(C163&gt;0,VLOOKUP(C163,КФСР!A76:B1588,2),IF(D162&gt;0,VLOOKUP(D162,КЦСР!A76:B4080,2),IF(E162&gt;0,VLOOKUP(E162,КВР!A76:B2007,2)))))</f>
        <v>Реализация региональных программ повышения эффективности бюджетных расходов</v>
      </c>
      <c r="B162" s="233"/>
      <c r="C162" s="234"/>
      <c r="D162" s="235">
        <v>5202400</v>
      </c>
      <c r="E162" s="236"/>
      <c r="F162" s="221">
        <v>305672</v>
      </c>
      <c r="G162" s="221">
        <f>G163</f>
        <v>305672</v>
      </c>
    </row>
    <row r="163" spans="1:7" s="22" customFormat="1" ht="47.25">
      <c r="A163" s="231" t="str">
        <f>IF(B163&gt;0,VLOOKUP(B163,КВСР!A77:B1242,2),IF(C164&gt;0,VLOOKUP(C164,КФСР!A77:B1589,2),IF(D163&gt;0,VLOOKUP(D163,КЦСР!A77:B4081,2),IF(E163&gt;0,VLOOKUP(E163,КВР!A77:B2008,2)))))</f>
        <v>Реализация муниципальной программы "Повышение эффективности бюджетных расходов"</v>
      </c>
      <c r="B163" s="233"/>
      <c r="C163" s="234"/>
      <c r="D163" s="235">
        <v>5202402</v>
      </c>
      <c r="F163" s="221">
        <v>305672</v>
      </c>
      <c r="G163" s="221">
        <f>SUM(G164:G166)</f>
        <v>305672</v>
      </c>
    </row>
    <row r="164" spans="1:7" s="22" customFormat="1" ht="26.25" customHeight="1">
      <c r="A164" s="231" t="str">
        <f>IF(B164&gt;0,VLOOKUP(B164,КВСР!A78:B1243,2),IF(C165&gt;0,VLOOKUP(C165,КФСР!A78:B1590,2),IF(D164&gt;0,VLOOKUP(D164,КЦСР!A78:B4082,2),IF(E164&gt;0,VLOOKUP(E164,КВР!A78:B2009,2)))))</f>
        <v>Фонд оплаты труда и страховые взносы</v>
      </c>
      <c r="B164" s="233"/>
      <c r="C164" s="234"/>
      <c r="D164" s="235"/>
      <c r="E164" s="236">
        <v>121</v>
      </c>
      <c r="F164" s="221">
        <v>13672</v>
      </c>
      <c r="G164" s="221">
        <v>13672</v>
      </c>
    </row>
    <row r="165" spans="1:7" s="22" customFormat="1" ht="47.25">
      <c r="A165" s="231" t="str">
        <f>IF(B165&gt;0,VLOOKUP(B165,КВСР!A79:B1244,2),IF(C166&gt;0,VLOOKUP(C166,КФСР!A79:B1591,2),IF(D165&gt;0,VLOOKUP(D165,КЦСР!A79:B4083,2),IF(E165&gt;0,VLOOKUP(E165,КВР!A79:B2010,2)))))</f>
        <v>Закупка товаров, работ, услуг в сфере информационно-коммуникационных технологий</v>
      </c>
      <c r="B165" s="233"/>
      <c r="C165" s="234"/>
      <c r="D165" s="235"/>
      <c r="E165" s="236">
        <v>242</v>
      </c>
      <c r="F165" s="221">
        <v>42000</v>
      </c>
      <c r="G165" s="221">
        <v>42000</v>
      </c>
    </row>
    <row r="166" spans="1:7" s="22" customFormat="1" ht="36" customHeight="1">
      <c r="A166" s="231" t="str">
        <f>IF(B166&gt;0,VLOOKUP(B166,КВСР!A80:B1245,2),IF(C166&gt;0,VLOOKUP(C166,КФСР!A80:B1592,2),IF(D166&gt;0,VLOOKUP(D166,КЦСР!A80:B4084,2),IF(E166&gt;0,VLOOKUP(E166,КВР!A80:B2011,2)))))</f>
        <v>Прочая закупка товаров, работ и услуг для государственных нужд</v>
      </c>
      <c r="B166" s="233"/>
      <c r="C166" s="234"/>
      <c r="D166" s="235"/>
      <c r="E166" s="236">
        <v>244</v>
      </c>
      <c r="F166" s="221">
        <v>250000</v>
      </c>
      <c r="G166" s="221">
        <v>250000</v>
      </c>
    </row>
    <row r="167" spans="1:7" s="22" customFormat="1" ht="31.5">
      <c r="A167" s="231" t="str">
        <f>IF(B167&gt;0,VLOOKUP(B167,КВСР!A81:B1246,2),IF(C167&gt;0,VLOOKUP(C167,КФСР!A81:B1593,2),IF(D167&gt;0,VLOOKUP(D167,КЦСР!A81:B4085,2),IF(E167&gt;0,VLOOKUP(E167,КВР!A81:B2012,2)))))</f>
        <v>Другие вопросы в области национальной экономики</v>
      </c>
      <c r="B167" s="233"/>
      <c r="C167" s="234">
        <v>412</v>
      </c>
      <c r="D167" s="235"/>
      <c r="E167" s="236"/>
      <c r="F167" s="221">
        <v>570000</v>
      </c>
      <c r="G167" s="221">
        <f>G169+G173</f>
        <v>562700</v>
      </c>
    </row>
    <row r="168" spans="1:7" s="22" customFormat="1" ht="34.5" customHeight="1">
      <c r="A168" s="231" t="str">
        <f>IF(B168&gt;0,VLOOKUP(B168,КВСР!A82:B1247,2),IF(C168&gt;0,VLOOKUP(C168,КФСР!A82:B1594,2),IF(D168&gt;0,VLOOKUP(D168,КЦСР!A82:B4086,2),IF(E168&gt;0,VLOOKUP(E168,КВР!A82:B2013,2)))))</f>
        <v>Реализация государственных функций в области национальной экономики</v>
      </c>
      <c r="B168" s="233"/>
      <c r="C168" s="255"/>
      <c r="D168" s="235">
        <v>3400000</v>
      </c>
      <c r="E168" s="236"/>
      <c r="F168" s="221">
        <v>420000</v>
      </c>
      <c r="G168" s="221">
        <f>G169</f>
        <v>412700</v>
      </c>
    </row>
    <row r="169" spans="1:7" s="22" customFormat="1" ht="31.5">
      <c r="A169" s="231" t="str">
        <f>IF(B169&gt;0,VLOOKUP(B169,КВСР!A83:B1248,2),IF(C169&gt;0,VLOOKUP(C169,КФСР!A83:B1595,2),IF(D169&gt;0,VLOOKUP(D169,КЦСР!A83:B4087,2),IF(E169&gt;0,VLOOKUP(E169,КВР!A83:B2014,2)))))</f>
        <v>Мероприятия по землеустройству и землепользованию</v>
      </c>
      <c r="B169" s="233"/>
      <c r="C169" s="234"/>
      <c r="D169" s="235">
        <v>3400300</v>
      </c>
      <c r="F169" s="221">
        <v>420000</v>
      </c>
      <c r="G169" s="221">
        <f>G170</f>
        <v>412700</v>
      </c>
    </row>
    <row r="170" spans="1:7" s="22" customFormat="1" ht="31.5">
      <c r="A170" s="231" t="str">
        <f>IF(B170&gt;0,VLOOKUP(B170,КВСР!A84:B1249,2),IF(C170&gt;0,VLOOKUP(C170,КФСР!A84:B1596,2),IF(D170&gt;0,VLOOKUP(D170,КЦСР!A84:B4088,2),IF(E170&gt;0,VLOOKUP(E170,КВР!A84:B2015,2)))))</f>
        <v>Прочая закупка товаров, работ и услуг для государственных нужд</v>
      </c>
      <c r="B170" s="233"/>
      <c r="C170" s="234"/>
      <c r="D170" s="235"/>
      <c r="E170" s="236">
        <v>244</v>
      </c>
      <c r="F170" s="221">
        <v>420000</v>
      </c>
      <c r="G170" s="221">
        <v>412700</v>
      </c>
    </row>
    <row r="171" spans="1:7" s="22" customFormat="1" ht="31.5">
      <c r="A171" s="231" t="str">
        <f>IF(B171&gt;0,VLOOKUP(B171,КВСР!A85:B1250,2),IF(C171&gt;0,VLOOKUP(C171,КФСР!A85:B1597,2),IF(D171&gt;0,VLOOKUP(D171,КЦСР!A85:B4089,2),IF(E171&gt;0,VLOOKUP(E171,КВР!A85:B2016,2)))))</f>
        <v>Иные безвозмездные и безвозвратные перечисления</v>
      </c>
      <c r="B171" s="233"/>
      <c r="C171" s="234"/>
      <c r="D171" s="235">
        <v>5200000</v>
      </c>
      <c r="E171" s="236"/>
      <c r="F171" s="221">
        <v>150000</v>
      </c>
      <c r="G171" s="221">
        <f>G172</f>
        <v>150000</v>
      </c>
    </row>
    <row r="172" spans="1:7" s="22" customFormat="1" ht="47.25">
      <c r="A172" s="231" t="str">
        <f>IF(B172&gt;0,VLOOKUP(B172,КВСР!A86:B1251,2),IF(C172&gt;0,VLOOKUP(C172,КФСР!A86:B1598,2),IF(D172&gt;0,VLOOKUP(D172,КЦСР!A86:B4090,2),IF(E172&gt;0,VLOOKUP(E172,КВР!A86:B2017,2)))))</f>
        <v>Реализация региональных программ повышения эффективности бюджетных расходов</v>
      </c>
      <c r="B172" s="233"/>
      <c r="C172" s="234"/>
      <c r="D172" s="235">
        <v>5202400</v>
      </c>
      <c r="E172" s="236"/>
      <c r="F172" s="221">
        <v>150000</v>
      </c>
      <c r="G172" s="221">
        <f>G173</f>
        <v>150000</v>
      </c>
    </row>
    <row r="173" spans="1:7" s="22" customFormat="1" ht="47.25">
      <c r="A173" s="231" t="str">
        <f>IF(B173&gt;0,VLOOKUP(B173,КВСР!A87:B1252,2),IF(C173&gt;0,VLOOKUP(C173,КФСР!A87:B1599,2),IF(D173&gt;0,VLOOKUP(D173,КЦСР!A87:B4091,2),IF(E173&gt;0,VLOOKUP(E173,КВР!A87:B2018,2)))))</f>
        <v>Реализация муниципальной программы "Повышение эффективности бюджетных расходов"</v>
      </c>
      <c r="B173" s="233"/>
      <c r="C173" s="234"/>
      <c r="D173" s="235">
        <v>5202402</v>
      </c>
      <c r="F173" s="221">
        <v>150000</v>
      </c>
      <c r="G173" s="221">
        <f>G174</f>
        <v>150000</v>
      </c>
    </row>
    <row r="174" spans="1:7" s="22" customFormat="1" ht="31.5">
      <c r="A174" s="231" t="str">
        <f>IF(B174&gt;0,VLOOKUP(B174,КВСР!A88:B1253,2),IF(C174&gt;0,VLOOKUP(C174,КФСР!A88:B1600,2),IF(D174&gt;0,VLOOKUP(D174,КЦСР!A88:B4092,2),IF(E174&gt;0,VLOOKUP(E174,КВР!A88:B2019,2)))))</f>
        <v>Прочая закупка товаров, работ и услуг для государственных нужд</v>
      </c>
      <c r="B174" s="233"/>
      <c r="C174" s="234"/>
      <c r="D174" s="235"/>
      <c r="E174" s="236">
        <v>244</v>
      </c>
      <c r="F174" s="221">
        <v>150000</v>
      </c>
      <c r="G174" s="221">
        <v>150000</v>
      </c>
    </row>
    <row r="175" spans="1:7">
      <c r="A175" s="231" t="str">
        <f>IF(B175&gt;0,VLOOKUP(B175,КВСР!A81:B1246,2),IF(C175&gt;0,VLOOKUP(C175,КФСР!A81:B1593,2),IF(D175&gt;0,VLOOKUP(D175,КЦСР!A81:B4085,2),IF(E175&gt;0,VLOOKUP(E175,КВР!A81:B2012,2)))))</f>
        <v>Социальное обеспечение населения</v>
      </c>
      <c r="B175" s="233"/>
      <c r="C175" s="234">
        <v>1003</v>
      </c>
      <c r="D175" s="235"/>
      <c r="E175" s="236"/>
      <c r="F175" s="221">
        <v>28000</v>
      </c>
      <c r="G175" s="221">
        <f>G178</f>
        <v>27948</v>
      </c>
    </row>
    <row r="176" spans="1:7">
      <c r="A176" s="231" t="str">
        <f>IF(B176&gt;0,VLOOKUP(B176,КВСР!A82:B1247,2),IF(C176&gt;0,VLOOKUP(C176,КФСР!A82:B1594,2),IF(D176&gt;0,VLOOKUP(D176,КЦСР!A82:B4086,2),IF(E176&gt;0,VLOOKUP(E176,КВР!A82:B2013,2)))))</f>
        <v>Региональные целевые программы</v>
      </c>
      <c r="B176" s="233"/>
      <c r="C176" s="243"/>
      <c r="D176" s="235">
        <v>5220000</v>
      </c>
      <c r="E176" s="236"/>
      <c r="F176" s="221">
        <v>28000</v>
      </c>
      <c r="G176" s="221">
        <f>G177</f>
        <v>27948</v>
      </c>
    </row>
    <row r="177" spans="1:7" ht="63">
      <c r="A177" s="231" t="str">
        <f>IF(B177&gt;0,VLOOKUP(B177,КВСР!A83:B1248,2),IF(C177&gt;0,VLOOKUP(C177,КФСР!A83:B1595,2),IF(D177&gt;0,VLOOKUP(D177,КЦСР!A83:B4087,2),IF(E177&gt;0,VLOOKUP(E177,КВР!A83:B2014,2)))))</f>
        <v xml:space="preserve">Региональная программа "Стимулирование развития жилищного строительства на территории Ярославской области" </v>
      </c>
      <c r="B177" s="233"/>
      <c r="C177" s="234"/>
      <c r="D177" s="235">
        <v>5226000</v>
      </c>
      <c r="E177" s="236"/>
      <c r="F177" s="221">
        <v>28000</v>
      </c>
      <c r="G177" s="221">
        <f>G178</f>
        <v>27948</v>
      </c>
    </row>
    <row r="178" spans="1:7" ht="78.75">
      <c r="A178" s="231" t="str">
        <f>IF(B178&gt;0,VLOOKUP(B178,КВСР!A84:B1249,2),IF(C178&gt;0,VLOOKUP(C178,КФСР!A84:B1596,2),IF(D178&gt;0,VLOOKUP(D178,КЦСР!A84:B4088,2),IF(E178&gt;0,VLOOKUP(E178,КВР!A84:B2015,2)))))</f>
        <v>Субсидия на реализацию подпрограммы "Государственная поддержка граждан, проживающих на территории ЯО, в сфере ипотечного кредитования"</v>
      </c>
      <c r="B178" s="233"/>
      <c r="C178" s="234"/>
      <c r="D178" s="235">
        <v>5226003</v>
      </c>
      <c r="E178" s="331"/>
      <c r="F178" s="221">
        <v>28000</v>
      </c>
      <c r="G178" s="221">
        <f>G179</f>
        <v>27948</v>
      </c>
    </row>
    <row r="179" spans="1:7" ht="78.75">
      <c r="A179" s="231" t="str">
        <f>IF(B179&gt;0,VLOOKUP(B179,КВСР!A85:B1250,2),IF(C179&gt;0,VLOOKUP(C179,КФСР!A85:B1597,2),IF(D179&gt;0,VLOOKUP(D179,КЦСР!A85:B4089,2),IF(E179&gt;0,VLOOKUP(E179,КВР!A85:B2016,2)))))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179" s="233"/>
      <c r="C179" s="234"/>
      <c r="D179" s="235"/>
      <c r="E179" s="236">
        <v>521</v>
      </c>
      <c r="F179" s="221">
        <v>28000</v>
      </c>
      <c r="G179" s="221">
        <v>27948</v>
      </c>
    </row>
    <row r="180" spans="1:7">
      <c r="A180" s="231" t="str">
        <f>IF(B180&gt;0,VLOOKUP(B180,КВСР!A86:B1251,2),IF(C180&gt;0,VLOOKUP(C180,КФСР!A86:B1598,2),IF(D180&gt;0,VLOOKUP(D180,КЦСР!A86:B4090,2),IF(E180&gt;0,VLOOKUP(E180,КВР!A86:B2017,2)))))</f>
        <v>Охрана семьи и детства</v>
      </c>
      <c r="B180" s="233"/>
      <c r="C180" s="234">
        <v>1004</v>
      </c>
      <c r="D180" s="235"/>
      <c r="E180" s="236"/>
      <c r="F180" s="221">
        <v>13753000</v>
      </c>
      <c r="G180" s="221">
        <f>G181</f>
        <v>13752850</v>
      </c>
    </row>
    <row r="181" spans="1:7">
      <c r="A181" s="231" t="str">
        <f>IF(B181&gt;0,VLOOKUP(B181,КВСР!A87:B1252,2),IF(C181&gt;0,VLOOKUP(C181,КФСР!A87:B1599,2),IF(D181&gt;0,VLOOKUP(D181,КЦСР!A87:B4091,2),IF(E181&gt;0,VLOOKUP(E181,КВР!A87:B2018,2)))))</f>
        <v>Социальная помощь</v>
      </c>
      <c r="B181" s="233"/>
      <c r="C181" s="243"/>
      <c r="D181" s="235">
        <v>5050000</v>
      </c>
      <c r="E181" s="236"/>
      <c r="F181" s="221">
        <v>13753000</v>
      </c>
      <c r="G181" s="221">
        <f>G182</f>
        <v>13752850</v>
      </c>
    </row>
    <row r="182" spans="1:7" ht="87.75" customHeight="1">
      <c r="A182" s="231" t="str">
        <f>IF(B182&gt;0,VLOOKUP(B182,КВСР!A88:B1253,2),IF(C182&gt;0,VLOOKUP(C182,КФСР!A88:B1600,2),IF(D182&gt;0,VLOOKUP(D182,КЦСР!A88:B4092,2),IF(E182&gt;0,VLOOKUP(E182,КВР!A88:B2019,2)))))</f>
        <v>Федеральный закон от 21 декабря 1996 года № 159-ФЗ "О дополнительных гарантиях по социальной поддержке детей-сирот и детей, оставшихся без попечения родителей"</v>
      </c>
      <c r="B182" s="233"/>
      <c r="C182" s="234"/>
      <c r="D182" s="235">
        <v>5052100</v>
      </c>
      <c r="E182" s="236"/>
      <c r="F182" s="221">
        <v>13753000</v>
      </c>
      <c r="G182" s="221">
        <f>G183</f>
        <v>13752850</v>
      </c>
    </row>
    <row r="183" spans="1:7" ht="94.5">
      <c r="A183" s="231" t="str">
        <f>IF(B183&gt;0,VLOOKUP(B183,КВСР!A89:B1254,2),IF(C183&gt;0,VLOOKUP(C183,КФСР!A89:B1601,2),IF(D183&gt;0,VLOOKUP(D183,КЦСР!A89:B4093,2),IF(E183&gt;0,VLOOKUP(E183,КВР!A89:B2020,2)))))</f>
        <v>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v>
      </c>
      <c r="B183" s="233"/>
      <c r="C183" s="234"/>
      <c r="D183" s="235">
        <v>5052102</v>
      </c>
      <c r="F183" s="221">
        <v>13753000</v>
      </c>
      <c r="G183" s="221">
        <f>G184</f>
        <v>13752850</v>
      </c>
    </row>
    <row r="184" spans="1:7" ht="31.5">
      <c r="A184" s="231" t="str">
        <f>IF(B184&gt;0,VLOOKUP(B184,КВСР!A90:B1255,2),IF(C184&gt;0,VLOOKUP(C184,КФСР!A90:B1602,2),IF(D184&gt;0,VLOOKUP(D184,КЦСР!A90:B4094,2),IF(E184&gt;0,VLOOKUP(E184,КВР!A90:B2021,2)))))</f>
        <v>Субсидии гражданам на приобретение жилья</v>
      </c>
      <c r="B184" s="233"/>
      <c r="C184" s="234"/>
      <c r="D184" s="235"/>
      <c r="E184" s="236">
        <v>322</v>
      </c>
      <c r="F184" s="221">
        <v>13753000</v>
      </c>
      <c r="G184" s="221">
        <v>13752850</v>
      </c>
    </row>
    <row r="185" spans="1:7" ht="31.5">
      <c r="A185" s="226" t="str">
        <f>IF(B185&gt;0,VLOOKUP(B185,КВСР!A86:B1251,2),IF(#REF!&gt;0,VLOOKUP(#REF!,КФСР!A86:B1598,2),IF(D185&gt;0,VLOOKUP(D185,КЦСР!A86:B4090,2),IF(#REF!&gt;0,VLOOKUP(#REF!,КВР!A86:B2017,2)))))</f>
        <v>Департамент образования Администрации ТМР</v>
      </c>
      <c r="B185" s="227">
        <v>953</v>
      </c>
      <c r="C185" s="234"/>
      <c r="D185" s="229"/>
      <c r="E185" s="230"/>
      <c r="F185" s="222">
        <v>815637570</v>
      </c>
      <c r="G185" s="222">
        <f>G186+G190+G194+G214+G241+G260+G308+G311+G338</f>
        <v>770426076</v>
      </c>
    </row>
    <row r="186" spans="1:7">
      <c r="A186" s="231" t="str">
        <f>IF(B186&gt;0,VLOOKUP(B186,КВСР!A80:B1245,2),IF(C186&gt;0,VLOOKUP(C186,КФСР!A80:B1592,2),IF(D186&gt;0,VLOOKUP(D186,КЦСР!A80:B4084,2),IF(E186&gt;0,VLOOKUP(E186,КВР!A80:B2011,2)))))</f>
        <v>Резервные фонды</v>
      </c>
      <c r="B186" s="227"/>
      <c r="C186" s="228">
        <v>111</v>
      </c>
      <c r="D186" s="229"/>
      <c r="E186" s="230"/>
      <c r="F186" s="221">
        <v>2012981</v>
      </c>
      <c r="G186" s="221">
        <f>G187</f>
        <v>1980157</v>
      </c>
    </row>
    <row r="187" spans="1:7">
      <c r="A187" s="231" t="str">
        <f>IF(B187&gt;0,VLOOKUP(B187,КВСР!A81:B1246,2),IF(C187&gt;0,VLOOKUP(C187,КФСР!A81:B1593,2),IF(D187&gt;0,VLOOKUP(D187,КЦСР!A81:B4085,2),IF(E187&gt;0,VLOOKUP(E187,КВР!A81:B2012,2)))))</f>
        <v>Резервные фонды</v>
      </c>
      <c r="B187" s="227"/>
      <c r="C187" s="243"/>
      <c r="D187" s="229">
        <v>700000</v>
      </c>
      <c r="E187" s="230"/>
      <c r="F187" s="221">
        <v>2012981</v>
      </c>
      <c r="G187" s="221">
        <f>G188</f>
        <v>1980157</v>
      </c>
    </row>
    <row r="188" spans="1:7" ht="31.5">
      <c r="A188" s="231" t="str">
        <f>IF(B188&gt;0,VLOOKUP(B188,КВСР!A82:B1247,2),IF(C188&gt;0,VLOOKUP(C188,КФСР!A82:B1594,2),IF(D188&gt;0,VLOOKUP(D188,КЦСР!A82:B4086,2),IF(E188&gt;0,VLOOKUP(E188,КВР!A82:B2013,2)))))</f>
        <v>Резервные фонды местных администраций</v>
      </c>
      <c r="B188" s="227"/>
      <c r="C188" s="228"/>
      <c r="D188" s="229">
        <v>700500</v>
      </c>
      <c r="F188" s="221">
        <v>2012981</v>
      </c>
      <c r="G188" s="221">
        <f>G189</f>
        <v>1980157</v>
      </c>
    </row>
    <row r="189" spans="1:7" ht="31.5">
      <c r="A189" s="231" t="str">
        <f>IF(B189&gt;0,VLOOKUP(B189,КВСР!A83:B1248,2),IF(C189&gt;0,VLOOKUP(C189,КФСР!A83:B1595,2),IF(D189&gt;0,VLOOKUP(D189,КЦСР!A83:B4087,2),IF(E189&gt;0,VLOOKUP(E189,КВР!A83:B2014,2)))))</f>
        <v>Субсидии бюджетным учреждениям на иные цели</v>
      </c>
      <c r="B189" s="227"/>
      <c r="C189" s="228"/>
      <c r="D189" s="229"/>
      <c r="E189" s="230">
        <v>612</v>
      </c>
      <c r="F189" s="221">
        <v>2012981</v>
      </c>
      <c r="G189" s="221">
        <v>1980157</v>
      </c>
    </row>
    <row r="190" spans="1:7">
      <c r="A190" s="231" t="str">
        <f>IF(B190&gt;0,VLOOKUP(B190,КВСР!A84:B1249,2),IF(C190&gt;0,VLOOKUP(C190,КФСР!A84:B1596,2),IF(D190&gt;0,VLOOKUP(D190,КЦСР!A84:B4088,2),IF(E190&gt;0,VLOOKUP(E190,КВР!A84:B2015,2)))))</f>
        <v>Транспорт</v>
      </c>
      <c r="B190" s="227"/>
      <c r="C190" s="228">
        <v>408</v>
      </c>
      <c r="D190" s="229"/>
      <c r="E190" s="230"/>
      <c r="F190" s="221">
        <v>106200</v>
      </c>
      <c r="G190" s="221">
        <f>G191</f>
        <v>97760</v>
      </c>
    </row>
    <row r="191" spans="1:7">
      <c r="A191" s="231" t="str">
        <f>IF(B191&gt;0,VLOOKUP(B191,КВСР!A85:B1250,2),IF(C191&gt;0,VLOOKUP(C191,КФСР!A85:B1597,2),IF(D191&gt;0,VLOOKUP(D191,КЦСР!A85:B4089,2),IF(E191&gt;0,VLOOKUP(E191,КВР!A85:B2016,2)))))</f>
        <v>Социальная помощь</v>
      </c>
      <c r="B191" s="227"/>
      <c r="C191" s="243"/>
      <c r="D191" s="229">
        <v>5050000</v>
      </c>
      <c r="E191" s="230"/>
      <c r="F191" s="221">
        <v>106200</v>
      </c>
      <c r="G191" s="221">
        <f>G192</f>
        <v>97760</v>
      </c>
    </row>
    <row r="192" spans="1:7" ht="31.5">
      <c r="A192" s="231" t="str">
        <f>IF(B192&gt;0,VLOOKUP(B192,КВСР!A86:B1251,2),IF(C192&gt;0,VLOOKUP(C192,КФСР!A86:B1598,2),IF(D192&gt;0,VLOOKUP(D192,КЦСР!A86:B4090,2),IF(E192&gt;0,VLOOKUP(E192,КВР!A86:B2017,2)))))</f>
        <v>Оказание других видов социальной помощи</v>
      </c>
      <c r="B192" s="227"/>
      <c r="C192" s="228"/>
      <c r="D192" s="229">
        <v>5058600</v>
      </c>
      <c r="F192" s="221">
        <v>106200</v>
      </c>
      <c r="G192" s="221">
        <f>G193</f>
        <v>97760</v>
      </c>
    </row>
    <row r="193" spans="1:7" ht="47.25" customHeight="1">
      <c r="A193" s="231" t="str">
        <f>IF(B193&gt;0,VLOOKUP(B193,КВСР!A87:B1252,2),IF(C193&gt;0,VLOOKUP(C193,КФСР!A87:B1599,2),IF(D193&gt;0,VLOOKUP(D193,КЦСР!A87:B4091,2),IF(E193&gt;0,VLOOKUP(E193,КВР!A87:B2018,2)))))</f>
        <v>Меры социальной поддержки населения по публичным нормативным обязательствам</v>
      </c>
      <c r="B193" s="227"/>
      <c r="C193" s="228"/>
      <c r="D193" s="229"/>
      <c r="E193" s="230">
        <v>314</v>
      </c>
      <c r="F193" s="221">
        <v>106200</v>
      </c>
      <c r="G193" s="221">
        <v>97760</v>
      </c>
    </row>
    <row r="194" spans="1:7">
      <c r="A194" s="231" t="str">
        <f>IF(B194&gt;0,VLOOKUP(B194,КВСР!A88:B1253,2),IF(C194&gt;0,VLOOKUP(C194,КФСР!A88:B1600,2),IF(D194&gt;0,VLOOKUP(D194,КЦСР!A88:B4092,2),IF(E194&gt;0,VLOOKUP(E194,КВР!A88:B2019,2)))))</f>
        <v>Дошкольное образование</v>
      </c>
      <c r="B194" s="233"/>
      <c r="C194" s="234">
        <v>701</v>
      </c>
      <c r="D194" s="235"/>
      <c r="E194" s="236"/>
      <c r="F194" s="221">
        <v>246340220</v>
      </c>
      <c r="G194" s="221">
        <f>G196+G200+G203+G208+G212</f>
        <v>232880964</v>
      </c>
    </row>
    <row r="195" spans="1:7">
      <c r="A195" s="231" t="str">
        <f>IF(B195&gt;0,VLOOKUP(B195,КВСР!A89:B1254,2),IF(C195&gt;0,VLOOKUP(C195,КФСР!A89:B1601,2),IF(D195&gt;0,VLOOKUP(D195,КЦСР!A89:B4093,2),IF(E195&gt;0,VLOOKUP(E195,КВР!A89:B2020,2)))))</f>
        <v>Резервные фонды</v>
      </c>
      <c r="B195" s="233"/>
      <c r="C195" s="243"/>
      <c r="D195" s="235">
        <v>700000</v>
      </c>
      <c r="E195" s="236"/>
      <c r="F195" s="221">
        <v>1141180</v>
      </c>
      <c r="G195" s="221">
        <f>G196</f>
        <v>1141180</v>
      </c>
    </row>
    <row r="196" spans="1:7" ht="47.25">
      <c r="A196" s="231" t="str">
        <f>IF(B196&gt;0,VLOOKUP(B196,КВСР!A90:B1255,2),IF(C196&gt;0,VLOOKUP(C196,КФСР!A90:B1602,2),IF(D196&gt;0,VLOOKUP(D196,КЦСР!A90:B4094,2),IF(E196&gt;0,VLOOKUP(E196,КВР!A90:B2021,2)))))</f>
        <v>Резервный фонд исполнительных органов государственной власти субъектов Российской Федерации</v>
      </c>
      <c r="B196" s="233"/>
      <c r="C196" s="234"/>
      <c r="D196" s="235">
        <v>700400</v>
      </c>
      <c r="F196" s="221">
        <v>1141180</v>
      </c>
      <c r="G196" s="221">
        <f>G197</f>
        <v>1141180</v>
      </c>
    </row>
    <row r="197" spans="1:7" ht="31.5">
      <c r="A197" s="231" t="str">
        <f>IF(B197&gt;0,VLOOKUP(B197,КВСР!A91:B1256,2),IF(C197&gt;0,VLOOKUP(C197,КФСР!A91:B1603,2),IF(D197&gt;0,VLOOKUP(D197,КЦСР!A91:B4095,2),IF(E197&gt;0,VLOOKUP(E197,КВР!A91:B2022,2)))))</f>
        <v>Субсидии бюджетным учреждениям на иные цели</v>
      </c>
      <c r="B197" s="233"/>
      <c r="C197" s="234"/>
      <c r="D197" s="235"/>
      <c r="E197" s="236">
        <v>612</v>
      </c>
      <c r="F197" s="221">
        <v>1141180</v>
      </c>
      <c r="G197" s="221">
        <v>1141180</v>
      </c>
    </row>
    <row r="198" spans="1:7">
      <c r="A198" s="231" t="str">
        <f>IF(B198&gt;0,VLOOKUP(B198,КВСР!A92:B1257,2),IF(C198&gt;0,VLOOKUP(C198,КФСР!A92:B1604,2),IF(D198&gt;0,VLOOKUP(D198,КЦСР!A92:B4096,2),IF(E198&gt;0,VLOOKUP(E198,КВР!A92:B2023,2)))))</f>
        <v>Федеральные целевые программы</v>
      </c>
      <c r="B198" s="233"/>
      <c r="C198" s="234"/>
      <c r="D198" s="235">
        <v>1000000</v>
      </c>
      <c r="E198" s="236"/>
      <c r="F198" s="221">
        <v>54094</v>
      </c>
      <c r="G198" s="221">
        <f>G199</f>
        <v>54094</v>
      </c>
    </row>
    <row r="199" spans="1:7" ht="47.25">
      <c r="A199" s="231" t="str">
        <f>IF(B199&gt;0,VLOOKUP(B199,КВСР!A93:B1258,2),IF(C199&gt;0,VLOOKUP(C199,КФСР!A93:B1605,2),IF(D199&gt;0,VLOOKUP(D199,КЦСР!A93:B4097,2),IF(E199&gt;0,VLOOKUP(E199,КВР!A93:B2024,2)))))</f>
        <v>Федеральная целевая программа развития образования на 2011 - 2015 годы</v>
      </c>
      <c r="B199" s="233"/>
      <c r="C199" s="234"/>
      <c r="D199" s="235">
        <v>1008900</v>
      </c>
      <c r="E199" s="236"/>
      <c r="F199" s="221">
        <v>54094</v>
      </c>
      <c r="G199" s="221">
        <f>G200</f>
        <v>54094</v>
      </c>
    </row>
    <row r="200" spans="1:7" ht="47.25">
      <c r="A200" s="231" t="str">
        <f>IF(B200&gt;0,VLOOKUP(B200,КВСР!A94:B1259,2),IF(C200&gt;0,VLOOKUP(C200,КФСР!A94:B1606,2),IF(D200&gt;0,VLOOKUP(D200,КЦСР!A94:B4098,2),IF(E200&gt;0,VLOOKUP(E200,КВР!A94:B2025,2)))))</f>
        <v>Федеральная целевая программа развития образования на 2011 - 2015 годы</v>
      </c>
      <c r="B200" s="233"/>
      <c r="C200" s="234"/>
      <c r="D200" s="235">
        <v>1008999</v>
      </c>
      <c r="E200" s="236"/>
      <c r="F200" s="221">
        <v>54094</v>
      </c>
      <c r="G200" s="221">
        <f>G201</f>
        <v>54094</v>
      </c>
    </row>
    <row r="201" spans="1:7" ht="31.5">
      <c r="A201" s="231" t="str">
        <f>IF(B201&gt;0,VLOOKUP(B201,КВСР!A95:B1260,2),IF(C201&gt;0,VLOOKUP(C201,КФСР!A95:B1607,2),IF(D201&gt;0,VLOOKUP(D201,КЦСР!A95:B4099,2),IF(E201&gt;0,VLOOKUP(E201,КВР!A95:B2026,2)))))</f>
        <v>Субсидии бюджетным учреждениям на иные цели</v>
      </c>
      <c r="B201" s="233"/>
      <c r="C201" s="234"/>
      <c r="D201" s="235"/>
      <c r="E201" s="236">
        <v>612</v>
      </c>
      <c r="F201" s="221">
        <v>54094</v>
      </c>
      <c r="G201" s="221">
        <v>54094</v>
      </c>
    </row>
    <row r="202" spans="1:7">
      <c r="A202" s="231" t="str">
        <f>IF(B202&gt;0,VLOOKUP(B202,КВСР!A92:B1257,2),IF(C202&gt;0,VLOOKUP(C202,КФСР!A92:B1604,2),IF(D202&gt;0,VLOOKUP(D202,КЦСР!A92:B4096,2),IF(E202&gt;0,VLOOKUP(E202,КВР!A92:B2023,2)))))</f>
        <v>Детские дошкольные учреждения</v>
      </c>
      <c r="B202" s="233"/>
      <c r="C202" s="234"/>
      <c r="D202" s="235">
        <v>4200000</v>
      </c>
      <c r="E202" s="236"/>
      <c r="F202" s="221">
        <v>242444689</v>
      </c>
      <c r="G202" s="221">
        <f>G203</f>
        <v>231085759</v>
      </c>
    </row>
    <row r="203" spans="1:7" ht="31.5">
      <c r="A203" s="231" t="str">
        <f>IF(B203&gt;0,VLOOKUP(B203,КВСР!A93:B1258,2),IF(C203&gt;0,VLOOKUP(C203,КФСР!A93:B1605,2),IF(D203&gt;0,VLOOKUP(D203,КЦСР!A93:B4097,2),IF(E203&gt;0,VLOOKUP(E203,КВР!A93:B2024,2)))))</f>
        <v>Обеспечение деятельности подведомственных учреждений</v>
      </c>
      <c r="B203" s="233"/>
      <c r="C203" s="234"/>
      <c r="D203" s="235">
        <v>4209900</v>
      </c>
      <c r="E203" s="331"/>
      <c r="F203" s="221">
        <v>242444689</v>
      </c>
      <c r="G203" s="221">
        <f>SUM(G204:G205)</f>
        <v>231085759</v>
      </c>
    </row>
    <row r="204" spans="1:7" ht="78.75">
      <c r="A204" s="231" t="str">
        <f>IF(B204&gt;0,VLOOKUP(B204,КВСР!A94:B1259,2),IF(C204&gt;0,VLOOKUP(C204,КФСР!A94:B1606,2),IF(D204&gt;0,VLOOKUP(D204,КЦСР!A94:B4098,2),IF(E204&gt;0,VLOOKUP(E204,КВР!A94:B2025,2)))))</f>
        <v>Субсидии бюджетным учреждениям на финансовое обеспечение государственного задания на оказание государственных услуг (выполнение работ)</v>
      </c>
      <c r="B204" s="233"/>
      <c r="C204" s="234"/>
      <c r="D204" s="235"/>
      <c r="E204" s="236">
        <v>611</v>
      </c>
      <c r="F204" s="221">
        <v>221541346</v>
      </c>
      <c r="G204" s="221">
        <v>212339130</v>
      </c>
    </row>
    <row r="205" spans="1:7" ht="31.5">
      <c r="A205" s="231" t="str">
        <f>IF(B205&gt;0,VLOOKUP(B205,КВСР!A95:B1260,2),IF(C205&gt;0,VLOOKUP(C205,КФСР!A95:B1607,2),IF(D205&gt;0,VLOOKUP(D205,КЦСР!A95:B4099,2),IF(E205&gt;0,VLOOKUP(E205,КВР!A95:B2026,2)))))</f>
        <v>Субсидии бюджетным учреждениям на иные цели</v>
      </c>
      <c r="B205" s="233"/>
      <c r="C205" s="234"/>
      <c r="D205" s="235"/>
      <c r="E205" s="236">
        <v>612</v>
      </c>
      <c r="F205" s="221">
        <v>20903343</v>
      </c>
      <c r="G205" s="221">
        <v>18746629</v>
      </c>
    </row>
    <row r="206" spans="1:7">
      <c r="A206" s="231" t="str">
        <f>IF(B206&gt;0,VLOOKUP(B206,КВСР!A96:B1261,2),IF(C206&gt;0,VLOOKUP(C206,КФСР!A96:B1608,2),IF(D206&gt;0,VLOOKUP(D206,КЦСР!A96:B4100,2),IF(E206&gt;0,VLOOKUP(E206,КВР!A96:B2027,2)))))</f>
        <v>Мероприятия в области образования</v>
      </c>
      <c r="B206" s="233"/>
      <c r="C206" s="234"/>
      <c r="D206" s="235">
        <v>4360000</v>
      </c>
      <c r="E206" s="236"/>
      <c r="F206" s="221">
        <v>470257</v>
      </c>
      <c r="G206" s="221">
        <f>G207</f>
        <v>470257</v>
      </c>
    </row>
    <row r="207" spans="1:7" ht="31.5">
      <c r="A207" s="231" t="str">
        <f>IF(B207&gt;0,VLOOKUP(B207,КВСР!A97:B1262,2),IF(C207&gt;0,VLOOKUP(C207,КФСР!A97:B1609,2),IF(D207&gt;0,VLOOKUP(D207,КЦСР!A97:B4101,2),IF(E207&gt;0,VLOOKUP(E207,КВР!A97:B2028,2)))))</f>
        <v>Модернизация региональных  систем  дошкольного образования</v>
      </c>
      <c r="B207" s="233"/>
      <c r="C207" s="234"/>
      <c r="D207" s="235">
        <v>4362700</v>
      </c>
      <c r="E207" s="236"/>
      <c r="F207" s="221">
        <v>470257</v>
      </c>
      <c r="G207" s="221">
        <f>G208</f>
        <v>470257</v>
      </c>
    </row>
    <row r="208" spans="1:7" ht="63">
      <c r="A208" s="231" t="str">
        <f>IF(B208&gt;0,VLOOKUP(B208,КВСР!A98:B1263,2),IF(C208&gt;0,VLOOKUP(C208,КФСР!A98:B1610,2),IF(D208&gt;0,VLOOKUP(D208,КЦСР!A98:B4102,2),IF(E208&gt;0,VLOOKUP(E208,КВР!A98:B2029,2)))))</f>
        <v>Приобретение оборудования для оснащения дополнительных мест в дошкольных образовательных организациях</v>
      </c>
      <c r="B208" s="233"/>
      <c r="C208" s="234"/>
      <c r="D208" s="235">
        <v>4362703</v>
      </c>
      <c r="F208" s="221">
        <v>470257</v>
      </c>
      <c r="G208" s="221">
        <f>G209</f>
        <v>470257</v>
      </c>
    </row>
    <row r="209" spans="1:7" ht="37.5" customHeight="1">
      <c r="A209" s="231" t="str">
        <f>IF(B209&gt;0,VLOOKUP(B209,КВСР!A99:B1264,2),IF(C209&gt;0,VLOOKUP(C209,КФСР!A99:B1611,2),IF(D209&gt;0,VLOOKUP(D209,КЦСР!A99:B4103,2),IF(E209&gt;0,VLOOKUP(E209,КВР!A99:B2030,2)))))</f>
        <v>Субсидии бюджетным учреждениям на иные цели</v>
      </c>
      <c r="B209" s="233"/>
      <c r="C209" s="234"/>
      <c r="D209" s="235"/>
      <c r="E209" s="236">
        <v>612</v>
      </c>
      <c r="F209" s="221">
        <v>470257</v>
      </c>
      <c r="G209" s="221">
        <v>470257</v>
      </c>
    </row>
    <row r="210" spans="1:7">
      <c r="A210" s="231" t="str">
        <f>IF(B210&gt;0,VLOOKUP(B210,КВСР!A100:B1265,2),IF(C210&gt;0,VLOOKUP(C210,КФСР!A100:B1612,2),IF(D210&gt;0,VLOOKUP(D210,КЦСР!A100:B4104,2),IF(E210&gt;0,VLOOKUP(E210,КВР!A100:B2031,2)))))</f>
        <v>Региональные целевые программы</v>
      </c>
      <c r="B210" s="233"/>
      <c r="C210" s="234"/>
      <c r="D210" s="235">
        <v>5220000</v>
      </c>
      <c r="E210" s="236"/>
      <c r="F210" s="221">
        <v>2230000</v>
      </c>
      <c r="G210" s="221">
        <f>G211</f>
        <v>129674</v>
      </c>
    </row>
    <row r="211" spans="1:7" ht="31.5">
      <c r="A211" s="231" t="str">
        <f>IF(B211&gt;0,VLOOKUP(B211,КВСР!A101:B1266,2),IF(C211&gt;0,VLOOKUP(C211,КФСР!A101:B1613,2),IF(D211&gt;0,VLOOKUP(D211,КЦСР!A101:B4105,2),IF(E211&gt;0,VLOOKUP(E211,КВР!A101:B2032,2)))))</f>
        <v>Программа "Обеспечение доступного дошкольного образования"</v>
      </c>
      <c r="B211" s="233"/>
      <c r="C211" s="234"/>
      <c r="D211" s="235">
        <v>5221200</v>
      </c>
      <c r="E211" s="236"/>
      <c r="F211" s="221">
        <v>2230000</v>
      </c>
      <c r="G211" s="221">
        <f>G212</f>
        <v>129674</v>
      </c>
    </row>
    <row r="212" spans="1:7" ht="47.25">
      <c r="A212" s="231" t="str">
        <f>IF(B212&gt;0,VLOOKUP(B212,КВСР!A102:B1267,2),IF(C212&gt;0,VLOOKUP(C212,КФСР!A102:B1614,2),IF(D212&gt;0,VLOOKUP(D212,КЦСР!A102:B4106,2),IF(E212&gt;0,VLOOKUP(E212,КВР!A102:B2033,2)))))</f>
        <v>Программа "Обеспечение доступного дошкольного образования" в части проведения ремонтных работ</v>
      </c>
      <c r="B212" s="233"/>
      <c r="C212" s="234"/>
      <c r="D212" s="235">
        <v>5221201</v>
      </c>
      <c r="F212" s="221">
        <v>2230000</v>
      </c>
      <c r="G212" s="221">
        <f>G213</f>
        <v>129674</v>
      </c>
    </row>
    <row r="213" spans="1:7" ht="31.5">
      <c r="A213" s="231" t="str">
        <f>IF(B213&gt;0,VLOOKUP(B213,КВСР!A103:B1268,2),IF(C213&gt;0,VLOOKUP(C213,КФСР!A103:B1615,2),IF(D213&gt;0,VLOOKUP(D213,КЦСР!A103:B4107,2),IF(E213&gt;0,VLOOKUP(E213,КВР!A103:B2034,2)))))</f>
        <v>Субсидии бюджетным учреждениям на иные цели</v>
      </c>
      <c r="B213" s="233"/>
      <c r="C213" s="234"/>
      <c r="D213" s="235"/>
      <c r="E213" s="236">
        <v>612</v>
      </c>
      <c r="F213" s="221">
        <v>2230000</v>
      </c>
      <c r="G213" s="221">
        <v>129674</v>
      </c>
    </row>
    <row r="214" spans="1:7">
      <c r="A214" s="231" t="str">
        <f>IF(B214&gt;0,VLOOKUP(B214,КВСР!A104:B1269,2),IF(C214&gt;0,VLOOKUP(C214,КФСР!A104:B1616,2),IF(D214&gt;0,VLOOKUP(D214,КЦСР!A104:B4108,2),IF(E214&gt;0,VLOOKUP(E214,КВР!A104:B2035,2)))))</f>
        <v>Общее образование</v>
      </c>
      <c r="B214" s="233"/>
      <c r="C214" s="234">
        <v>702</v>
      </c>
      <c r="D214" s="235"/>
      <c r="E214" s="236"/>
      <c r="F214" s="221">
        <v>486924616</v>
      </c>
      <c r="G214" s="221">
        <f>G216+G219+G223+G228+G232+G236+G239</f>
        <v>459591279</v>
      </c>
    </row>
    <row r="215" spans="1:7">
      <c r="A215" s="231" t="str">
        <f>IF(B215&gt;0,VLOOKUP(B215,КВСР!A105:B1270,2),IF(C215&gt;0,VLOOKUP(C215,КФСР!A105:B1617,2),IF(D215&gt;0,VLOOKUP(D215,КЦСР!A105:B4109,2),IF(E215&gt;0,VLOOKUP(E215,КВР!A105:B2036,2)))))</f>
        <v>Резервные фонды</v>
      </c>
      <c r="B215" s="233"/>
      <c r="C215" s="243"/>
      <c r="D215" s="235">
        <v>700000</v>
      </c>
      <c r="E215" s="236"/>
      <c r="F215" s="221">
        <v>12761520</v>
      </c>
      <c r="G215" s="221">
        <f>G216</f>
        <v>10324409</v>
      </c>
    </row>
    <row r="216" spans="1:7" ht="47.25">
      <c r="A216" s="231" t="str">
        <f>IF(B216&gt;0,VLOOKUP(B216,КВСР!A106:B1271,2),IF(C216&gt;0,VLOOKUP(C216,КФСР!A106:B1618,2),IF(D216&gt;0,VLOOKUP(D216,КЦСР!A106:B4110,2),IF(E216&gt;0,VLOOKUP(E216,КВР!A106:B2037,2)))))</f>
        <v>Резервный фонд исполнительных органов государственной власти субъектов Российской Федерации</v>
      </c>
      <c r="B216" s="233"/>
      <c r="C216" s="234"/>
      <c r="D216" s="235">
        <v>700400</v>
      </c>
      <c r="F216" s="221">
        <v>12761520</v>
      </c>
      <c r="G216" s="221">
        <f>G217</f>
        <v>10324409</v>
      </c>
    </row>
    <row r="217" spans="1:7" ht="31.5">
      <c r="A217" s="231" t="str">
        <f>IF(B217&gt;0,VLOOKUP(B217,КВСР!A107:B1272,2),IF(C217&gt;0,VLOOKUP(C217,КФСР!A107:B1619,2),IF(D217&gt;0,VLOOKUP(D217,КЦСР!A107:B4111,2),IF(E217&gt;0,VLOOKUP(E217,КВР!A107:B2038,2)))))</f>
        <v>Субсидии бюджетным учреждениям на иные цели</v>
      </c>
      <c r="B217" s="233"/>
      <c r="C217" s="234"/>
      <c r="D217" s="235"/>
      <c r="E217" s="236">
        <v>612</v>
      </c>
      <c r="F217" s="221">
        <v>12761520</v>
      </c>
      <c r="G217" s="221">
        <v>10324409</v>
      </c>
    </row>
    <row r="218" spans="1:7" ht="35.25" customHeight="1">
      <c r="A218" s="231" t="str">
        <f>IF(B218&gt;0,VLOOKUP(B218,КВСР!A108:B1273,2),IF(C218&gt;0,VLOOKUP(C218,КФСР!A108:B1620,2),IF(D218&gt;0,VLOOKUP(D218,КЦСР!A108:B4112,2),IF(E218&gt;0,VLOOKUP(E218,КВР!A108:B2039,2)))))</f>
        <v>Школы - детские сады, школы начальные, неполные средние и средние</v>
      </c>
      <c r="B218" s="233"/>
      <c r="C218" s="234"/>
      <c r="D218" s="235">
        <v>4210000</v>
      </c>
      <c r="E218" s="236"/>
      <c r="F218" s="221">
        <v>390606429</v>
      </c>
      <c r="G218" s="221">
        <f>G219</f>
        <v>373013430</v>
      </c>
    </row>
    <row r="219" spans="1:7" ht="31.5">
      <c r="A219" s="231" t="str">
        <f>IF(B219&gt;0,VLOOKUP(B219,КВСР!A109:B1274,2),IF(C219&gt;0,VLOOKUP(C219,КФСР!A109:B1621,2),IF(D219&gt;0,VLOOKUP(D219,КЦСР!A109:B4113,2),IF(E219&gt;0,VLOOKUP(E219,КВР!A109:B2040,2)))))</f>
        <v>Обеспечение деятельности подведомственных учреждений</v>
      </c>
      <c r="B219" s="233"/>
      <c r="C219" s="234"/>
      <c r="D219" s="235">
        <v>4219900</v>
      </c>
      <c r="F219" s="221">
        <v>390606429</v>
      </c>
      <c r="G219" s="221">
        <f>SUM(G220:G221)</f>
        <v>373013430</v>
      </c>
    </row>
    <row r="220" spans="1:7" ht="78.75">
      <c r="A220" s="231" t="str">
        <f>IF(B220&gt;0,VLOOKUP(B220,КВСР!A110:B1275,2),IF(C220&gt;0,VLOOKUP(C220,КФСР!A110:B1622,2),IF(D220&gt;0,VLOOKUP(D220,КЦСР!A110:B4114,2),IF(E220&gt;0,VLOOKUP(E220,КВР!A110:B2041,2)))))</f>
        <v>Субсидии бюджетным учреждениям на финансовое обеспечение государственного задания на оказание государственных услуг (выполнение работ)</v>
      </c>
      <c r="B220" s="233"/>
      <c r="C220" s="234"/>
      <c r="D220" s="235"/>
      <c r="E220" s="236">
        <v>611</v>
      </c>
      <c r="F220" s="221">
        <v>340947888</v>
      </c>
      <c r="G220" s="221">
        <v>326593328</v>
      </c>
    </row>
    <row r="221" spans="1:7" ht="31.5">
      <c r="A221" s="231" t="str">
        <f>IF(B221&gt;0,VLOOKUP(B221,КВСР!A111:B1276,2),IF(C221&gt;0,VLOOKUP(C221,КФСР!A111:B1623,2),IF(D221&gt;0,VLOOKUP(D221,КЦСР!A111:B4115,2),IF(E221&gt;0,VLOOKUP(E221,КВР!A111:B2042,2)))))</f>
        <v>Субсидии бюджетным учреждениям на иные цели</v>
      </c>
      <c r="B221" s="233"/>
      <c r="C221" s="234"/>
      <c r="D221" s="235"/>
      <c r="E221" s="236">
        <v>612</v>
      </c>
      <c r="F221" s="221">
        <v>49658541</v>
      </c>
      <c r="G221" s="221">
        <v>46420102</v>
      </c>
    </row>
    <row r="222" spans="1:7" ht="31.5">
      <c r="A222" s="231" t="str">
        <f>IF(B222&gt;0,VLOOKUP(B222,КВСР!A112:B1277,2),IF(C222&gt;0,VLOOKUP(C222,КФСР!A112:B1624,2),IF(D222&gt;0,VLOOKUP(D222,КЦСР!A112:B4116,2),IF(E222&gt;0,VLOOKUP(E222,КВР!A112:B2043,2)))))</f>
        <v>Учреждения по внешкольной работе с детьми</v>
      </c>
      <c r="B222" s="233"/>
      <c r="C222" s="234"/>
      <c r="D222" s="235">
        <v>4230000</v>
      </c>
      <c r="E222" s="240"/>
      <c r="F222" s="221">
        <v>71009575</v>
      </c>
      <c r="G222" s="221">
        <f>G223</f>
        <v>63782756</v>
      </c>
    </row>
    <row r="223" spans="1:7" ht="31.5">
      <c r="A223" s="231" t="str">
        <f>IF(B223&gt;0,VLOOKUP(B223,КВСР!A113:B1278,2),IF(C223&gt;0,VLOOKUP(C223,КФСР!A113:B1625,2),IF(D223&gt;0,VLOOKUP(D223,КЦСР!A113:B4117,2),IF(E223&gt;0,VLOOKUP(E223,КВР!A113:B2044,2)))))</f>
        <v>Обеспечение деятельности подведомственных учреждений</v>
      </c>
      <c r="B223" s="239"/>
      <c r="C223" s="234"/>
      <c r="D223" s="237">
        <v>4239900</v>
      </c>
      <c r="E223" s="331"/>
      <c r="F223" s="221">
        <v>71009575</v>
      </c>
      <c r="G223" s="221">
        <f>SUM(G224:G225)</f>
        <v>63782756</v>
      </c>
    </row>
    <row r="224" spans="1:7" ht="78.75">
      <c r="A224" s="231" t="str">
        <f>IF(B224&gt;0,VLOOKUP(B224,КВСР!A114:B1279,2),IF(C224&gt;0,VLOOKUP(C224,КФСР!A114:B1626,2),IF(D224&gt;0,VLOOKUP(D224,КЦСР!A114:B4118,2),IF(E224&gt;0,VLOOKUP(E224,КВР!A114:B2045,2)))))</f>
        <v>Субсидии бюджетным учреждениям на финансовое обеспечение государственного задания на оказание государственных услуг (выполнение работ)</v>
      </c>
      <c r="B224" s="239"/>
      <c r="C224" s="241"/>
      <c r="D224" s="237"/>
      <c r="E224" s="236">
        <v>611</v>
      </c>
      <c r="F224" s="221">
        <v>69123000</v>
      </c>
      <c r="G224" s="221">
        <v>61902428</v>
      </c>
    </row>
    <row r="225" spans="1:7" ht="31.5">
      <c r="A225" s="231" t="str">
        <f>IF(B225&gt;0,VLOOKUP(B225,КВСР!A115:B1280,2),IF(C225&gt;0,VLOOKUP(C225,КФСР!A115:B1627,2),IF(D225&gt;0,VLOOKUP(D225,КЦСР!A115:B4119,2),IF(E225&gt;0,VLOOKUP(E225,КВР!A115:B2046,2)))))</f>
        <v>Субсидии бюджетным учреждениям на иные цели</v>
      </c>
      <c r="B225" s="239"/>
      <c r="C225" s="241"/>
      <c r="D225" s="237"/>
      <c r="E225" s="236">
        <v>612</v>
      </c>
      <c r="F225" s="221">
        <v>1886575</v>
      </c>
      <c r="G225" s="221">
        <v>1880328</v>
      </c>
    </row>
    <row r="226" spans="1:7" ht="19.5" customHeight="1">
      <c r="A226" s="231" t="str">
        <f>IF(B226&gt;0,VLOOKUP(B226,КВСР!A116:B1281,2),IF(C226&gt;0,VLOOKUP(C226,КФСР!A116:B1628,2),IF(D226&gt;0,VLOOKUP(D226,КЦСР!A116:B4120,2),IF(E226&gt;0,VLOOKUP(E226,КВР!A116:B2047,2)))))</f>
        <v>Мероприятия в области образования</v>
      </c>
      <c r="B226" s="239"/>
      <c r="C226" s="241"/>
      <c r="D226" s="237">
        <v>4360000</v>
      </c>
      <c r="E226" s="236"/>
      <c r="F226" s="221">
        <v>6707092</v>
      </c>
      <c r="G226" s="221">
        <f>G227</f>
        <v>6630684</v>
      </c>
    </row>
    <row r="227" spans="1:7" ht="36.75" customHeight="1">
      <c r="A227" s="231" t="str">
        <f>IF(B227&gt;0,VLOOKUP(B227,КВСР!A117:B1282,2),IF(C227&gt;0,VLOOKUP(C227,КФСР!A117:B1629,2),IF(D227&gt;0,VLOOKUP(D227,КЦСР!A117:B4121,2),IF(E227&gt;0,VLOOKUP(E227,КВР!A117:B2048,2)))))</f>
        <v>Модернизация региональных систем общего образования</v>
      </c>
      <c r="B227" s="239"/>
      <c r="C227" s="241"/>
      <c r="D227" s="237">
        <v>4362100</v>
      </c>
      <c r="E227" s="240"/>
      <c r="F227" s="221">
        <v>6707092</v>
      </c>
      <c r="G227" s="221">
        <f>G228</f>
        <v>6630684</v>
      </c>
    </row>
    <row r="228" spans="1:7" ht="33.75" customHeight="1">
      <c r="A228" s="231" t="str">
        <f>IF(B228&gt;0,VLOOKUP(B228,КВСР!A118:B1283,2),IF(C228&gt;0,VLOOKUP(C228,КФСР!A118:B1630,2),IF(D228&gt;0,VLOOKUP(D228,КЦСР!A118:B4122,2),IF(E228&gt;0,VLOOKUP(E228,КВР!A118:B2049,2)))))</f>
        <v>Реализация мероприятий комплекса мер по модернизации общего образования</v>
      </c>
      <c r="B228" s="239"/>
      <c r="C228" s="241"/>
      <c r="D228" s="237">
        <v>4362102</v>
      </c>
      <c r="E228" s="331"/>
      <c r="F228" s="221">
        <v>6707092</v>
      </c>
      <c r="G228" s="221">
        <f>SUM(G229)</f>
        <v>6630684</v>
      </c>
    </row>
    <row r="229" spans="1:7" ht="36.75" customHeight="1">
      <c r="A229" s="231" t="str">
        <f>IF(B229&gt;0,VLOOKUP(B229,КВСР!A119:B1284,2),IF(C229&gt;0,VLOOKUP(C229,КФСР!A119:B1631,2),IF(D229&gt;0,VLOOKUP(D229,КЦСР!A119:B4123,2),IF(E229&gt;0,VLOOKUP(E229,КВР!A119:B2050,2)))))</f>
        <v>Субсидии бюджетным учреждениям на иные цели</v>
      </c>
      <c r="B229" s="239"/>
      <c r="C229" s="241"/>
      <c r="D229" s="237"/>
      <c r="E229" s="236">
        <v>612</v>
      </c>
      <c r="F229" s="221">
        <v>6707092</v>
      </c>
      <c r="G229" s="221">
        <v>6630684</v>
      </c>
    </row>
    <row r="230" spans="1:7" ht="31.5">
      <c r="A230" s="231" t="str">
        <f>IF(B230&gt;0,VLOOKUP(B230,КВСР!A120:B1285,2),IF(C230&gt;0,VLOOKUP(C230,КФСР!A120:B1632,2),IF(D230&gt;0,VLOOKUP(D230,КЦСР!A120:B4124,2),IF(E230&gt;0,VLOOKUP(E230,КВР!A120:B2051,2)))))</f>
        <v>Иные безвозмездные и безвозвратные перечисления</v>
      </c>
      <c r="B230" s="239"/>
      <c r="C230" s="241"/>
      <c r="D230" s="235">
        <v>5200000</v>
      </c>
      <c r="E230" s="240"/>
      <c r="F230" s="221">
        <v>3540000</v>
      </c>
      <c r="G230" s="221">
        <f>G231</f>
        <v>3540000</v>
      </c>
    </row>
    <row r="231" spans="1:7" ht="39.75" customHeight="1">
      <c r="A231" s="231" t="str">
        <f>IF(B231&gt;0,VLOOKUP(B231,КВСР!A121:B1286,2),IF(C231&gt;0,VLOOKUP(C231,КФСР!A121:B1633,2),IF(D231&gt;0,VLOOKUP(D231,КЦСР!A121:B4125,2),IF(E231&gt;0,VLOOKUP(E231,КВР!A121:B2052,2)))))</f>
        <v>Ежемесячное денежное вознаграждение за классное руководство</v>
      </c>
      <c r="B231" s="239"/>
      <c r="C231" s="241"/>
      <c r="D231" s="235">
        <v>5200900</v>
      </c>
      <c r="E231" s="240"/>
      <c r="F231" s="221">
        <v>3540000</v>
      </c>
      <c r="G231" s="221">
        <f>G232</f>
        <v>3540000</v>
      </c>
    </row>
    <row r="232" spans="1:7" ht="33" customHeight="1">
      <c r="A232" s="231" t="str">
        <f>IF(B232&gt;0,VLOOKUP(B232,КВСР!A122:B1287,2),IF(C232&gt;0,VLOOKUP(C232,КФСР!A122:B1634,2),IF(D232&gt;0,VLOOKUP(D232,КЦСР!A122:B4126,2),IF(E232&gt;0,VLOOKUP(E232,КВР!A122:B2053,2)))))</f>
        <v>Ежемесячное денежное вознаграждение за классное руководство</v>
      </c>
      <c r="B232" s="239"/>
      <c r="C232" s="241"/>
      <c r="D232" s="235">
        <v>5200901</v>
      </c>
      <c r="E232" s="331"/>
      <c r="F232" s="221">
        <v>3540000</v>
      </c>
      <c r="G232" s="221">
        <f>G233</f>
        <v>3540000</v>
      </c>
    </row>
    <row r="233" spans="1:7" ht="31.5">
      <c r="A233" s="231" t="str">
        <f>IF(B233&gt;0,VLOOKUP(B233,КВСР!A123:B1288,2),IF(C233&gt;0,VLOOKUP(C233,КФСР!A123:B1635,2),IF(D233&gt;0,VLOOKUP(D233,КЦСР!A123:B4127,2),IF(E233&gt;0,VLOOKUP(E233,КВР!A123:B2054,2)))))</f>
        <v>Субсидии бюджетным учреждениям на иные цели</v>
      </c>
      <c r="B233" s="239"/>
      <c r="C233" s="241"/>
      <c r="D233" s="237"/>
      <c r="E233" s="240">
        <v>612</v>
      </c>
      <c r="F233" s="221">
        <v>3540000</v>
      </c>
      <c r="G233" s="221">
        <v>3540000</v>
      </c>
    </row>
    <row r="234" spans="1:7">
      <c r="A234" s="231" t="str">
        <f>IF(B234&gt;0,VLOOKUP(B234,КВСР!A124:B1289,2),IF(C234&gt;0,VLOOKUP(C234,КФСР!A124:B1636,2),IF(D234&gt;0,VLOOKUP(D234,КЦСР!A124:B4128,2),IF(E234&gt;0,VLOOKUP(E234,КВР!A124:B2055,2)))))</f>
        <v>Региональные целевые программы</v>
      </c>
      <c r="B234" s="239"/>
      <c r="C234" s="241"/>
      <c r="D234" s="237">
        <v>5220000</v>
      </c>
      <c r="E234" s="240"/>
      <c r="F234" s="221">
        <v>2300000</v>
      </c>
      <c r="G234" s="221">
        <f>G235</f>
        <v>2300000</v>
      </c>
    </row>
    <row r="235" spans="1:7" ht="63">
      <c r="A235" s="231" t="str">
        <f>IF(B235&gt;0,VLOOKUP(B235,КВСР!A125:B1290,2),IF(C235&gt;0,VLOOKUP(C235,КФСР!A125:B1637,2),IF(D235&gt;0,VLOOKUP(D235,КЦСР!A125:B4129,2),IF(E235&gt;0,VLOOKUP(E235,КВР!A125:B2056,2)))))</f>
        <v>Областная целевая программа "Развитие материально-технической базы общеобразовательных учреждений Ярославской области"</v>
      </c>
      <c r="B235" s="239"/>
      <c r="C235" s="241"/>
      <c r="D235" s="237">
        <v>5222100</v>
      </c>
      <c r="E235" s="240"/>
      <c r="F235" s="221">
        <v>2300000</v>
      </c>
      <c r="G235" s="221">
        <f>G236</f>
        <v>2300000</v>
      </c>
    </row>
    <row r="236" spans="1:7" ht="110.25">
      <c r="A236" s="231" t="str">
        <f>IF(B236&gt;0,VLOOKUP(B236,КВСР!A126:B1291,2),IF(C236&gt;0,VLOOKUP(C236,КФСР!A126:B1638,2),IF(D236&gt;0,VLOOKUP(D236,КЦСР!A126:B4130,2),IF(E236&gt;0,VLOOKUP(E236,КВР!A126:B2057,2)))))</f>
        <v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v>
      </c>
      <c r="B236" s="239"/>
      <c r="C236" s="241"/>
      <c r="D236" s="237">
        <v>5222101</v>
      </c>
      <c r="E236" s="331"/>
      <c r="F236" s="221">
        <v>2300000</v>
      </c>
      <c r="G236" s="221">
        <f>G237</f>
        <v>2300000</v>
      </c>
    </row>
    <row r="237" spans="1:7" ht="30.75" customHeight="1">
      <c r="A237" s="231" t="str">
        <f>IF(B237&gt;0,VLOOKUP(B237,КВСР!A127:B1292,2),IF(C237&gt;0,VLOOKUP(C237,КФСР!A127:B1639,2),IF(D237&gt;0,VLOOKUP(D237,КЦСР!A127:B4131,2),IF(E237&gt;0,VLOOKUP(E237,КВР!A127:B2058,2)))))</f>
        <v>Субсидии бюджетным учреждениям на иные цели</v>
      </c>
      <c r="B237" s="239"/>
      <c r="C237" s="241"/>
      <c r="D237" s="237"/>
      <c r="E237" s="240">
        <v>612</v>
      </c>
      <c r="F237" s="221">
        <v>2300000</v>
      </c>
      <c r="G237" s="221">
        <v>2300000</v>
      </c>
    </row>
    <row r="238" spans="1:7" ht="31.5" hidden="1">
      <c r="A238" s="231" t="str">
        <f>IF(B238&gt;0,VLOOKUP(B238,КВСР!A128:B1293,2),IF(C238&gt;0,VLOOKUP(C238,КФСР!A128:B1640,2),IF(D238&gt;0,VLOOKUP(D238,КЦСР!A128:B4132,2),IF(E238&gt;0,VLOOKUP(E238,КВР!A128:B2059,2)))))</f>
        <v>Областная целевая программа "Доступная среда"</v>
      </c>
      <c r="B238" s="239"/>
      <c r="C238" s="241"/>
      <c r="D238" s="237">
        <v>5227200</v>
      </c>
      <c r="E238" s="240"/>
      <c r="F238" s="221">
        <v>0</v>
      </c>
      <c r="G238" s="221">
        <f>G239</f>
        <v>0</v>
      </c>
    </row>
    <row r="239" spans="1:7" ht="47.25" hidden="1">
      <c r="A239" s="231" t="str">
        <f>IF(B239&gt;0,VLOOKUP(B239,КВСР!A129:B1294,2),IF(C239&gt;0,VLOOKUP(C239,КФСР!A129:B1641,2),IF(D239&gt;0,VLOOKUP(D239,КЦСР!A129:B4133,2),IF(E239&gt;0,VLOOKUP(E239,КВР!A129:B2060,2)))))</f>
        <v>Мероприятия по реализации областной целевой программы "Доступная среда"</v>
      </c>
      <c r="B239" s="239"/>
      <c r="C239" s="241"/>
      <c r="D239" s="237">
        <v>5227202</v>
      </c>
      <c r="F239" s="221">
        <v>0</v>
      </c>
      <c r="G239" s="221">
        <f>G240</f>
        <v>0</v>
      </c>
    </row>
    <row r="240" spans="1:7" ht="31.5" hidden="1">
      <c r="A240" s="231" t="str">
        <f>IF(B240&gt;0,VLOOKUP(B240,КВСР!A130:B1295,2),IF(C240&gt;0,VLOOKUP(C240,КФСР!A130:B1642,2),IF(D240&gt;0,VLOOKUP(D240,КЦСР!A130:B4134,2),IF(E240&gt;0,VLOOKUP(E240,КВР!A130:B2061,2)))))</f>
        <v>Субсидии бюджетным учреждениям на иные цели</v>
      </c>
      <c r="B240" s="239"/>
      <c r="C240" s="241"/>
      <c r="D240" s="237"/>
      <c r="E240" s="240">
        <v>612</v>
      </c>
      <c r="F240" s="221">
        <v>0</v>
      </c>
      <c r="G240" s="221"/>
    </row>
    <row r="241" spans="1:7" ht="31.5">
      <c r="A241" s="231" t="str">
        <f>IF(B241&gt;0,VLOOKUP(B241,КВСР!A131:B1296,2),IF(C241&gt;0,VLOOKUP(C241,КФСР!A131:B1643,2),IF(D241&gt;0,VLOOKUP(D241,КЦСР!A131:B4135,2),IF(E241&gt;0,VLOOKUP(E241,КВР!A131:B2062,2)))))</f>
        <v>Молодежная политика и оздоровление детей</v>
      </c>
      <c r="B241" s="239"/>
      <c r="C241" s="241">
        <v>707</v>
      </c>
      <c r="D241" s="237"/>
      <c r="E241" s="240"/>
      <c r="F241" s="221">
        <v>7953800</v>
      </c>
      <c r="G241" s="221">
        <f>G244+G249+G252+G255+G258</f>
        <v>7953800</v>
      </c>
    </row>
    <row r="242" spans="1:7" ht="31.5">
      <c r="A242" s="231" t="str">
        <f>IF(B242&gt;0,VLOOKUP(B242,КВСР!A132:B1297,2),IF(C242&gt;0,VLOOKUP(C242,КФСР!A132:B1644,2),IF(D242&gt;0,VLOOKUP(D242,КЦСР!A132:B4136,2),IF(E242&gt;0,VLOOKUP(E242,КВР!A132:B2063,2)))))</f>
        <v>Мероприятия по проведению оздоровительной кампании детей</v>
      </c>
      <c r="B242" s="239"/>
      <c r="C242" s="243"/>
      <c r="D242" s="237">
        <v>4320000</v>
      </c>
      <c r="E242" s="240"/>
      <c r="F242" s="221">
        <v>4407000</v>
      </c>
      <c r="G242" s="221">
        <f>G243</f>
        <v>4407000</v>
      </c>
    </row>
    <row r="243" spans="1:7">
      <c r="A243" s="231" t="str">
        <f>IF(B243&gt;0,VLOOKUP(B243,КВСР!A133:B1298,2),IF(C243&gt;0,VLOOKUP(C243,КФСР!A133:B1645,2),IF(D243&gt;0,VLOOKUP(D243,КЦСР!A133:B4137,2),IF(E243&gt;0,VLOOKUP(E243,КВР!A133:B2064,2)))))</f>
        <v>Оздоровление детей</v>
      </c>
      <c r="B243" s="239"/>
      <c r="C243" s="241"/>
      <c r="D243" s="237">
        <v>4320200</v>
      </c>
      <c r="E243" s="240"/>
      <c r="F243" s="221">
        <v>4407000</v>
      </c>
      <c r="G243" s="221">
        <f>G244</f>
        <v>4407000</v>
      </c>
    </row>
    <row r="244" spans="1:7">
      <c r="A244" s="231" t="str">
        <f>IF(B244&gt;0,VLOOKUP(B244,КВСР!A134:B1299,2),IF(C244&gt;0,VLOOKUP(C244,КФСР!A134:B1646,2),IF(D244&gt;0,VLOOKUP(D244,КЦСР!A134:B4138,2),IF(E244&gt;0,VLOOKUP(E244,КВР!A134:B2065,2)))))</f>
        <v xml:space="preserve">Оздоровление детей </v>
      </c>
      <c r="B244" s="239"/>
      <c r="C244" s="241"/>
      <c r="D244" s="237">
        <v>4320201</v>
      </c>
      <c r="F244" s="221">
        <v>4407000</v>
      </c>
      <c r="G244" s="221">
        <f>SUM(G245:G246)</f>
        <v>4407000</v>
      </c>
    </row>
    <row r="245" spans="1:7" ht="31.5">
      <c r="A245" s="231" t="str">
        <f>IF(B245&gt;0,VLOOKUP(B245,КВСР!A135:B1300,2),IF(C245&gt;0,VLOOKUP(C245,КФСР!A135:B1647,2),IF(D245&gt;0,VLOOKUP(D245,КЦСР!A135:B4139,2),IF(E245&gt;0,VLOOKUP(E245,КВР!A135:B2066,2)))))</f>
        <v>Приобретение товаров, работ, услуг в пользу граждан</v>
      </c>
      <c r="B245" s="239"/>
      <c r="C245" s="241"/>
      <c r="D245" s="237"/>
      <c r="E245" s="240">
        <v>323</v>
      </c>
      <c r="F245" s="221">
        <v>3314865</v>
      </c>
      <c r="G245" s="221">
        <v>3314865</v>
      </c>
    </row>
    <row r="246" spans="1:7" ht="31.5">
      <c r="A246" s="231" t="str">
        <f>IF(B246&gt;0,VLOOKUP(B246,КВСР!A136:B1301,2),IF(C246&gt;0,VLOOKUP(C246,КФСР!A136:B1648,2),IF(D246&gt;0,VLOOKUP(D246,КЦСР!A136:B4140,2),IF(E246&gt;0,VLOOKUP(E246,КВР!A136:B2067,2)))))</f>
        <v>Субсидии бюджетным учреждениям на иные цели</v>
      </c>
      <c r="B246" s="239"/>
      <c r="C246" s="241"/>
      <c r="D246" s="237"/>
      <c r="E246" s="240">
        <v>612</v>
      </c>
      <c r="F246" s="221">
        <v>1092135</v>
      </c>
      <c r="G246" s="221">
        <v>1092135</v>
      </c>
    </row>
    <row r="247" spans="1:7">
      <c r="A247" s="231" t="str">
        <f>IF(B247&gt;0,VLOOKUP(B247,КВСР!A137:B1302,2),IF(C247&gt;0,VLOOKUP(C247,КФСР!A137:B1649,2),IF(D247&gt;0,VLOOKUP(D247,КЦСР!A137:B4141,2),IF(E247&gt;0,VLOOKUP(E247,КВР!A137:B2068,2)))))</f>
        <v>Региональные целевые программы</v>
      </c>
      <c r="B247" s="239"/>
      <c r="C247" s="241"/>
      <c r="D247" s="237">
        <v>5220000</v>
      </c>
      <c r="E247" s="236"/>
      <c r="F247" s="221">
        <v>3546800</v>
      </c>
      <c r="G247" s="221">
        <f>G248</f>
        <v>905600</v>
      </c>
    </row>
    <row r="248" spans="1:7" ht="31.5">
      <c r="A248" s="231" t="str">
        <f>IF(B248&gt;0,VLOOKUP(B248,КВСР!A138:B1303,2),IF(C248&gt;0,VLOOKUP(C248,КФСР!A138:B1650,2),IF(D248&gt;0,VLOOKUP(D248,КЦСР!A138:B4142,2),IF(E248&gt;0,VLOOKUP(E248,КВР!A138:B2069,2)))))</f>
        <v>Областная комплексная целевая программа "Семья и дети Ярославии"</v>
      </c>
      <c r="B248" s="239"/>
      <c r="C248" s="241"/>
      <c r="D248" s="237">
        <v>5221300</v>
      </c>
      <c r="E248" s="240"/>
      <c r="F248" s="221">
        <v>3474500</v>
      </c>
      <c r="G248" s="221">
        <f>G249</f>
        <v>905600</v>
      </c>
    </row>
    <row r="249" spans="1:7" ht="47.25">
      <c r="A249" s="231" t="str">
        <f>IF(B249&gt;0,VLOOKUP(B249,КВСР!A139:B1304,2),IF(C249&gt;0,VLOOKUP(C249,КФСР!A139:B1651,2),IF(D249&gt;0,VLOOKUP(D249,КЦСР!A139:B4143,2),IF(E249&gt;0,VLOOKUP(E249,КВР!A139:B2070,2)))))</f>
        <v>Подпрограмма "Ярославские каникулы" в части оздоровления и отдыха</v>
      </c>
      <c r="B249" s="239"/>
      <c r="C249" s="241"/>
      <c r="D249" s="237">
        <v>5221308</v>
      </c>
      <c r="F249" s="221">
        <v>905600</v>
      </c>
      <c r="G249" s="221">
        <f>SUM(G250:G251)</f>
        <v>905600</v>
      </c>
    </row>
    <row r="250" spans="1:7" ht="31.5">
      <c r="A250" s="231" t="str">
        <f>IF(B250&gt;0,VLOOKUP(B250,КВСР!A140:B1305,2),IF(C250&gt;0,VLOOKUP(C250,КФСР!A140:B1652,2),IF(D250&gt;0,VLOOKUP(D250,КЦСР!A140:B4144,2),IF(E250&gt;0,VLOOKUP(E250,КВР!A140:B2071,2)))))</f>
        <v>Приобретение товаров, работ, услуг в пользу граждан</v>
      </c>
      <c r="B250" s="239"/>
      <c r="C250" s="241"/>
      <c r="D250" s="237"/>
      <c r="E250" s="240">
        <v>323</v>
      </c>
      <c r="F250" s="221">
        <v>464610</v>
      </c>
      <c r="G250" s="221">
        <v>464610</v>
      </c>
    </row>
    <row r="251" spans="1:7" ht="31.5">
      <c r="A251" s="231" t="str">
        <f>IF(B251&gt;0,VLOOKUP(B251,КВСР!A141:B1306,2),IF(C251&gt;0,VLOOKUP(C251,КФСР!A141:B1653,2),IF(D251&gt;0,VLOOKUP(D251,КЦСР!A141:B4145,2),IF(E251&gt;0,VLOOKUP(E251,КВР!A141:B2072,2)))))</f>
        <v>Субсидии бюджетным учреждениям на иные цели</v>
      </c>
      <c r="B251" s="239"/>
      <c r="C251" s="241"/>
      <c r="D251" s="237"/>
      <c r="E251" s="240">
        <v>612</v>
      </c>
      <c r="F251" s="221">
        <v>440990</v>
      </c>
      <c r="G251" s="221">
        <v>440990</v>
      </c>
    </row>
    <row r="252" spans="1:7" ht="63">
      <c r="A252" s="231" t="str">
        <f>IF(B252&gt;0,VLOOKUP(B252,КВСР!A142:B1307,2),IF(C252&gt;0,VLOOKUP(C252,КФСР!A142:B1654,2),IF(D252&gt;0,VLOOKUP(D252,КЦСР!A142:B4146,2),IF(E252&gt;0,VLOOKUP(E252,КВР!A142:B2073,2)))))</f>
        <v>Подпрограмма "Ярославские каникулы" оплата стоимости наборов продуктов питания в лагерях с дневной формой пребывания</v>
      </c>
      <c r="B252" s="239"/>
      <c r="C252" s="241"/>
      <c r="D252" s="237">
        <v>5221309</v>
      </c>
      <c r="E252" s="331"/>
      <c r="F252" s="221">
        <v>2288900</v>
      </c>
      <c r="G252" s="221">
        <f>SUM(G253:G254)</f>
        <v>2288900</v>
      </c>
    </row>
    <row r="253" spans="1:7" ht="31.5" hidden="1">
      <c r="A253" s="231" t="str">
        <f>IF(B253&gt;0,VLOOKUP(B253,КВСР!A143:B1308,2),IF(C253&gt;0,VLOOKUP(C253,КФСР!A143:B1655,2),IF(D253&gt;0,VLOOKUP(D253,КЦСР!A143:B4147,2),IF(E253&gt;0,VLOOKUP(E253,КВР!A143:B2074,2)))))</f>
        <v>Субсидии бюджетным учреждениям на иные цели</v>
      </c>
      <c r="B253" s="239"/>
      <c r="C253" s="241"/>
      <c r="D253" s="237"/>
      <c r="E253" s="240">
        <v>612</v>
      </c>
      <c r="F253" s="221">
        <v>0</v>
      </c>
      <c r="G253" s="221"/>
    </row>
    <row r="254" spans="1:7" ht="31.5">
      <c r="A254" s="231" t="str">
        <f>IF(B254&gt;0,VLOOKUP(B254,КВСР!A144:B1309,2),IF(C254&gt;0,VLOOKUP(C254,КФСР!A144:B1656,2),IF(D254&gt;0,VLOOKUP(D254,КЦСР!A144:B4148,2),IF(E254&gt;0,VLOOKUP(E254,КВР!A144:B2075,2)))))</f>
        <v>Приобретение товаров, работ, услуг в пользу граждан</v>
      </c>
      <c r="B254" s="239"/>
      <c r="C254" s="241"/>
      <c r="D254" s="237"/>
      <c r="E254" s="240">
        <v>323</v>
      </c>
      <c r="F254" s="221">
        <v>2288900</v>
      </c>
      <c r="G254" s="221">
        <v>2288900</v>
      </c>
    </row>
    <row r="255" spans="1:7" ht="63">
      <c r="A255" s="231" t="str">
        <f>IF(B255&gt;0,VLOOKUP(B255,КВСР!A145:B1310,2),IF(C255&gt;0,VLOOKUP(C255,КФСР!A145:B1657,2),IF(D255&gt;0,VLOOKUP(D255,КЦСР!A145:B4149,2),IF(E255&gt;0,VLOOKUP(E255,КВР!A145:B2076,2)))))</f>
        <v>Подпрограмма "Ярославские каникулы" победители ежегодного конкурса соц. знач. проектов сфере организации отдыха</v>
      </c>
      <c r="B255" s="239"/>
      <c r="C255" s="241"/>
      <c r="D255" s="237">
        <v>5221312</v>
      </c>
      <c r="E255" s="331"/>
      <c r="F255" s="221">
        <v>280000</v>
      </c>
      <c r="G255" s="221">
        <f>G256</f>
        <v>280000</v>
      </c>
    </row>
    <row r="256" spans="1:7" ht="31.5">
      <c r="A256" s="231" t="str">
        <f>IF(B256&gt;0,VLOOKUP(B256,КВСР!A146:B1311,2),IF(C256&gt;0,VLOOKUP(C256,КФСР!A146:B1658,2),IF(D256&gt;0,VLOOKUP(D256,КЦСР!A146:B4150,2),IF(E256&gt;0,VLOOKUP(E256,КВР!A146:B2077,2)))))</f>
        <v>Субсидии бюджетным учреждениям на иные цели</v>
      </c>
      <c r="B256" s="239"/>
      <c r="C256" s="241"/>
      <c r="D256" s="237"/>
      <c r="E256" s="240">
        <v>612</v>
      </c>
      <c r="F256" s="221">
        <v>280000</v>
      </c>
      <c r="G256" s="221">
        <v>280000</v>
      </c>
    </row>
    <row r="257" spans="1:7" ht="31.5">
      <c r="A257" s="231" t="str">
        <f>IF(B257&gt;0,VLOOKUP(B257,КВСР!A147:B1312,2),IF(C257&gt;0,VLOOKUP(C257,КФСР!A147:B1659,2),IF(D257&gt;0,VLOOKUP(D257,КЦСР!A147:B4151,2),IF(E257&gt;0,VLOOKUP(E257,КВР!A147:B2078,2)))))</f>
        <v>ОЦП"Патриотеческое воспитание граждан РФ"</v>
      </c>
      <c r="B257" s="239"/>
      <c r="C257" s="241"/>
      <c r="D257" s="237">
        <v>5223200</v>
      </c>
      <c r="E257" s="240"/>
      <c r="F257" s="221">
        <v>72300</v>
      </c>
      <c r="G257" s="221">
        <f>G258</f>
        <v>72300</v>
      </c>
    </row>
    <row r="258" spans="1:7" ht="31.5">
      <c r="A258" s="231" t="str">
        <f>IF(B258&gt;0,VLOOKUP(B258,КВСР!A148:B1313,2),IF(C258&gt;0,VLOOKUP(C258,КФСР!A148:B1660,2),IF(D258&gt;0,VLOOKUP(D258,КЦСР!A148:B4152,2),IF(E258&gt;0,VLOOKUP(E258,КВР!A148:B2079,2)))))</f>
        <v>ОЦП"Патриотеческое воспитание граждан РФ"</v>
      </c>
      <c r="B258" s="239"/>
      <c r="C258" s="241"/>
      <c r="D258" s="237">
        <v>5223202</v>
      </c>
      <c r="E258" s="331"/>
      <c r="F258" s="221">
        <v>72300</v>
      </c>
      <c r="G258" s="221">
        <f>G259</f>
        <v>72300</v>
      </c>
    </row>
    <row r="259" spans="1:7" ht="31.5" customHeight="1">
      <c r="A259" s="231" t="str">
        <f>IF(B259&gt;0,VLOOKUP(B259,КВСР!A149:B1314,2),IF(C259&gt;0,VLOOKUP(C259,КФСР!A149:B1661,2),IF(D259&gt;0,VLOOKUP(D259,КЦСР!A149:B4153,2),IF(E259&gt;0,VLOOKUP(E259,КВР!A149:B2080,2)))))</f>
        <v>Субсидии бюджетным учреждениям на иные цели</v>
      </c>
      <c r="B259" s="239"/>
      <c r="C259" s="241"/>
      <c r="D259" s="237"/>
      <c r="E259" s="240">
        <v>612</v>
      </c>
      <c r="F259" s="221">
        <v>72300</v>
      </c>
      <c r="G259" s="221">
        <v>72300</v>
      </c>
    </row>
    <row r="260" spans="1:7" ht="31.5">
      <c r="A260" s="231" t="str">
        <f>IF(B260&gt;0,VLOOKUP(B260,КВСР!A150:B1315,2),IF(C260&gt;0,VLOOKUP(C260,КФСР!A150:B1662,2),IF(D260&gt;0,VLOOKUP(D260,КЦСР!A150:B4154,2),IF(E260&gt;0,VLOOKUP(E260,КВР!A150:B2081,2)))))</f>
        <v>Другие вопросы в области образования</v>
      </c>
      <c r="B260" s="239"/>
      <c r="C260" s="241">
        <v>709</v>
      </c>
      <c r="D260" s="237"/>
      <c r="E260" s="240"/>
      <c r="F260" s="221">
        <v>38515349</v>
      </c>
      <c r="G260" s="221">
        <f>G262+G270+G274+G276+G279+G289+G293+G296+G299+G302+G306</f>
        <v>35000918</v>
      </c>
    </row>
    <row r="261" spans="1:7" ht="78.75">
      <c r="A261" s="231" t="str">
        <f>IF(B261&gt;0,VLOOKUP(B261,КВСР!A151:B1316,2),IF(C261&gt;0,VLOOKUP(C261,КФСР!A151:B1663,2),IF(D261&gt;0,VLOOKUP(D261,КЦСР!A151:B4155,2),IF(E261&gt;0,VLOOKUP(E261,КВР!A151:B2082,2)))))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261" s="239"/>
      <c r="C261" s="243"/>
      <c r="D261" s="237">
        <v>20000</v>
      </c>
      <c r="E261" s="240"/>
      <c r="F261" s="221">
        <v>7765648</v>
      </c>
      <c r="G261" s="221">
        <f>G262</f>
        <v>7519790</v>
      </c>
    </row>
    <row r="262" spans="1:7">
      <c r="A262" s="231" t="str">
        <f>IF(B262&gt;0,VLOOKUP(B262,КВСР!A152:B1317,2),IF(C262&gt;0,VLOOKUP(C262,КФСР!A152:B1664,2),IF(D262&gt;0,VLOOKUP(D262,КЦСР!A152:B4156,2),IF(E262&gt;0,VLOOKUP(E262,КВР!A152:B2083,2)))))</f>
        <v>Центральный аппарат</v>
      </c>
      <c r="B262" s="239"/>
      <c r="C262" s="241"/>
      <c r="D262" s="237">
        <v>20400</v>
      </c>
      <c r="E262" s="236"/>
      <c r="F262" s="221">
        <v>7765648</v>
      </c>
      <c r="G262" s="221">
        <f>SUM(G263:G267)</f>
        <v>7519790</v>
      </c>
    </row>
    <row r="263" spans="1:7" ht="23.25" customHeight="1">
      <c r="A263" s="231" t="str">
        <f>IF(B263&gt;0,VLOOKUP(B263,КВСР!A153:B1318,2),IF(C263&gt;0,VLOOKUP(C263,КФСР!A153:B1665,2),IF(D263&gt;0,VLOOKUP(D263,КЦСР!A153:B4157,2),IF(E263&gt;0,VLOOKUP(E263,КВР!A153:B2084,2)))))</f>
        <v>Фонд оплаты труда и страховые взносы</v>
      </c>
      <c r="B263" s="239"/>
      <c r="C263" s="241"/>
      <c r="D263" s="237"/>
      <c r="E263" s="236">
        <v>121</v>
      </c>
      <c r="F263" s="221">
        <v>6503256</v>
      </c>
      <c r="G263" s="221">
        <v>6372198</v>
      </c>
    </row>
    <row r="264" spans="1:7" ht="31.5">
      <c r="A264" s="231" t="str">
        <f>IF(B264&gt;0,VLOOKUP(B264,КВСР!A154:B1319,2),IF(C264&gt;0,VLOOKUP(C264,КФСР!A154:B1666,2),IF(D264&gt;0,VLOOKUP(D264,КЦСР!A154:B4158,2),IF(E264&gt;0,VLOOKUP(E264,КВР!A154:B2085,2)))))</f>
        <v>Иные выплаты персоналу, за исключением фонда оплаты труда</v>
      </c>
      <c r="B264" s="239"/>
      <c r="C264" s="241"/>
      <c r="D264" s="237"/>
      <c r="E264" s="236">
        <v>122</v>
      </c>
      <c r="F264" s="221">
        <v>5900</v>
      </c>
      <c r="G264" s="221">
        <v>2100</v>
      </c>
    </row>
    <row r="265" spans="1:7" ht="47.25">
      <c r="A265" s="231" t="str">
        <f>IF(B265&gt;0,VLOOKUP(B265,КВСР!A155:B1320,2),IF(C265&gt;0,VLOOKUP(C265,КФСР!A155:B1667,2),IF(D265&gt;0,VLOOKUP(D265,КЦСР!A155:B4159,2),IF(E265&gt;0,VLOOKUP(E265,КВР!A155:B2086,2)))))</f>
        <v>Закупка товаров, работ, услуг в сфере информационно-коммуникационных технологий</v>
      </c>
      <c r="B265" s="239"/>
      <c r="C265" s="241"/>
      <c r="D265" s="237"/>
      <c r="E265" s="236">
        <v>242</v>
      </c>
      <c r="F265" s="221">
        <v>447437</v>
      </c>
      <c r="G265" s="221">
        <v>371092</v>
      </c>
    </row>
    <row r="266" spans="1:7" ht="47.25" hidden="1">
      <c r="A266" s="231" t="str">
        <f>IF(B266&gt;0,VLOOKUP(B266,КВСР!A156:B1321,2),IF(C266&gt;0,VLOOKUP(C266,КФСР!A156:B1668,2),IF(D266&gt;0,VLOOKUP(D266,КЦСР!A156:B4160,2),IF(E266&gt;0,VLOOKUP(E266,КВР!A156:B2087,2)))))</f>
        <v xml:space="preserve">Закупка товаров, работ, услуг в целях капитального ремонта государственного имущества </v>
      </c>
      <c r="B266" s="239"/>
      <c r="C266" s="241"/>
      <c r="D266" s="237"/>
      <c r="E266" s="236">
        <v>243</v>
      </c>
      <c r="F266" s="221">
        <v>0</v>
      </c>
      <c r="G266" s="221"/>
    </row>
    <row r="267" spans="1:7" ht="31.5">
      <c r="A267" s="231" t="str">
        <f>IF(B267&gt;0,VLOOKUP(B267,КВСР!A157:B1322,2),IF(C267&gt;0,VLOOKUP(C267,КФСР!A157:B1669,2),IF(D267&gt;0,VLOOKUP(D267,КЦСР!A157:B4161,2),IF(E267&gt;0,VLOOKUP(E267,КВР!A157:B2088,2)))))</f>
        <v>Прочая закупка товаров, работ и услуг для государственных нужд</v>
      </c>
      <c r="B267" s="239"/>
      <c r="C267" s="241"/>
      <c r="D267" s="237"/>
      <c r="E267" s="236">
        <v>244</v>
      </c>
      <c r="F267" s="221">
        <v>809055</v>
      </c>
      <c r="G267" s="221">
        <v>774400</v>
      </c>
    </row>
    <row r="268" spans="1:7" ht="47.25">
      <c r="A268" s="231" t="str">
        <f>IF(B268&gt;0,VLOOKUP(B268,КВСР!A158:B1323,2),IF(C268&gt;0,VLOOKUP(C268,КФСР!A158:B1670,2),IF(D268&gt;0,VLOOKUP(D268,КЦСР!A158:B4162,2),IF(E268&gt;0,VLOOKUP(E268,КВР!A158:B2089,2)))))</f>
        <v>Реализация государственных функций, связанных с общегосударственным управлением</v>
      </c>
      <c r="B268" s="239"/>
      <c r="C268" s="241"/>
      <c r="D268" s="237">
        <v>920000</v>
      </c>
      <c r="E268" s="236"/>
      <c r="F268" s="221">
        <v>1374653</v>
      </c>
      <c r="G268" s="221">
        <f>G269</f>
        <v>417094</v>
      </c>
    </row>
    <row r="269" spans="1:7" ht="52.5" customHeight="1">
      <c r="A269" s="231" t="str">
        <f>IF(B269&gt;0,VLOOKUP(B269,КВСР!A159:B1324,2),IF(C269&gt;0,VLOOKUP(C269,КФСР!A159:B1671,2),IF(D269&gt;0,VLOOKUP(D269,КЦСР!A159:B4163,2),IF(E269&gt;0,VLOOKUP(E269,КВР!A159:B2090,2)))))</f>
        <v>Программа энергосбережения и повышения энергетической эффективности на период до 2020 года</v>
      </c>
      <c r="B269" s="239"/>
      <c r="C269" s="241"/>
      <c r="D269" s="237">
        <v>923400</v>
      </c>
      <c r="E269" s="236"/>
      <c r="F269" s="221">
        <v>1374653</v>
      </c>
      <c r="G269" s="221">
        <f>G270</f>
        <v>417094</v>
      </c>
    </row>
    <row r="270" spans="1:7" ht="118.5" customHeight="1">
      <c r="A270" s="231" t="str">
        <f>IF(B270&gt;0,VLOOKUP(B270,КВСР!A160:B1325,2),IF(C270&gt;0,VLOOKUP(C270,КФСР!A160:B1672,2),IF(D270&gt;0,VLOOKUP(D270,КЦСР!A160:B4164,2),IF(E270&gt;0,VLOOKUP(E270,КВР!A160:B2091,2)))))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270" s="239"/>
      <c r="C270" s="241"/>
      <c r="D270" s="237">
        <v>923403</v>
      </c>
      <c r="E270" s="331"/>
      <c r="F270" s="221">
        <v>1374653</v>
      </c>
      <c r="G270" s="221">
        <f>SUM(G271:G272)</f>
        <v>417094</v>
      </c>
    </row>
    <row r="271" spans="1:7" ht="31.5">
      <c r="A271" s="231" t="str">
        <f>IF(B271&gt;0,VLOOKUP(B271,КВСР!A161:B1326,2),IF(C271&gt;0,VLOOKUP(C271,КФСР!A161:B1673,2),IF(D271&gt;0,VLOOKUP(D271,КЦСР!A161:B4165,2),IF(E271&gt;0,VLOOKUP(E271,КВР!A161:B2092,2)))))</f>
        <v>Прочая закупка товаров, работ и услуг для государственных нужд</v>
      </c>
      <c r="B271" s="239"/>
      <c r="C271" s="241"/>
      <c r="D271" s="237"/>
      <c r="E271" s="236">
        <v>244</v>
      </c>
      <c r="F271" s="221">
        <v>17837</v>
      </c>
      <c r="G271" s="221">
        <v>17837</v>
      </c>
    </row>
    <row r="272" spans="1:7" ht="31.5">
      <c r="A272" s="231" t="str">
        <f>IF(B272&gt;0,VLOOKUP(B272,КВСР!A162:B1327,2),IF(C272&gt;0,VLOOKUP(C272,КФСР!A162:B1674,2),IF(D272&gt;0,VLOOKUP(D272,КЦСР!A162:B4166,2),IF(E272&gt;0,VLOOKUP(E272,КВР!A162:B2093,2)))))</f>
        <v>Субсидии бюджетным учреждениям на иные цели</v>
      </c>
      <c r="B272" s="239"/>
      <c r="C272" s="241"/>
      <c r="D272" s="237"/>
      <c r="E272" s="236">
        <v>612</v>
      </c>
      <c r="F272" s="221">
        <v>1356816</v>
      </c>
      <c r="G272" s="221">
        <v>399257</v>
      </c>
    </row>
    <row r="273" spans="1:7" ht="15" hidden="1" customHeight="1">
      <c r="A273" s="231" t="str">
        <f>IF(B273&gt;0,VLOOKUP(B273,КВСР!A163:B1328,2),IF(C273&gt;0,VLOOKUP(C273,КФСР!A163:B1675,2),IF(D273&gt;0,VLOOKUP(D273,КЦСР!A163:B4167,2),IF(E273&gt;0,VLOOKUP(E273,КВР!A163:B2094,2)))))</f>
        <v>Мероприятия в области образования</v>
      </c>
      <c r="B273" s="239"/>
      <c r="C273" s="241"/>
      <c r="D273" s="237">
        <v>4360000</v>
      </c>
      <c r="E273" s="236"/>
      <c r="F273" s="221">
        <v>254700</v>
      </c>
      <c r="G273" s="221">
        <f>G274</f>
        <v>0</v>
      </c>
    </row>
    <row r="274" spans="1:7" ht="31.5" hidden="1">
      <c r="A274" s="231" t="str">
        <f>IF(B274&gt;0,VLOOKUP(B274,КВСР!A164:B1329,2),IF(C274&gt;0,VLOOKUP(C274,КФСР!A164:B1676,2),IF(D274&gt;0,VLOOKUP(D274,КЦСР!A164:B4168,2),IF(E274&gt;0,VLOOKUP(E274,КВР!A164:B2095,2)))))</f>
        <v>Государственная поддержка в сфере образования</v>
      </c>
      <c r="B274" s="239"/>
      <c r="C274" s="241"/>
      <c r="D274" s="237">
        <v>4360100</v>
      </c>
      <c r="E274" s="331"/>
      <c r="F274" s="221">
        <v>0</v>
      </c>
      <c r="G274" s="221">
        <f>G275</f>
        <v>0</v>
      </c>
    </row>
    <row r="275" spans="1:7" ht="47.25" hidden="1">
      <c r="A275" s="231" t="str">
        <f>IF(B275&gt;0,VLOOKUP(B275,КВСР!A165:B1330,2),IF(C275&gt;0,VLOOKUP(C275,КФСР!A165:B1677,2),IF(D275&gt;0,VLOOKUP(D275,КЦСР!A165:B4169,2),IF(E275&gt;0,VLOOKUP(E275,КВР!A165:B2096,2)))))</f>
        <v>Субсидии некоммерческим организациям (за исключением государственных учреждений)</v>
      </c>
      <c r="B275" s="239"/>
      <c r="C275" s="241"/>
      <c r="D275" s="237"/>
      <c r="E275" s="236">
        <v>630</v>
      </c>
      <c r="F275" s="221">
        <v>0</v>
      </c>
      <c r="G275" s="221"/>
    </row>
    <row r="276" spans="1:7" ht="31.5">
      <c r="A276" s="231" t="str">
        <f>IF(B276&gt;0,VLOOKUP(B276,КВСР!A166:B1331,2),IF(C276&gt;0,VLOOKUP(C276,КФСР!A166:B1678,2),IF(D276&gt;0,VLOOKUP(D276,КЦСР!A166:B4170,2),IF(E276&gt;0,VLOOKUP(E276,КВР!A166:B2097,2)))))</f>
        <v>Проведение мероприятий для детей и молодежи</v>
      </c>
      <c r="B276" s="239"/>
      <c r="C276" s="241"/>
      <c r="D276" s="237">
        <v>4360900</v>
      </c>
      <c r="E276" s="331"/>
      <c r="F276" s="221">
        <v>254700</v>
      </c>
      <c r="G276" s="221">
        <f>G277</f>
        <v>236103</v>
      </c>
    </row>
    <row r="277" spans="1:7" ht="31.5">
      <c r="A277" s="231" t="str">
        <f>IF(B277&gt;0,VLOOKUP(B277,КВСР!A167:B1332,2),IF(C277&gt;0,VLOOKUP(C277,КФСР!A167:B1679,2),IF(D277&gt;0,VLOOKUP(D277,КЦСР!A167:B4171,2),IF(E277&gt;0,VLOOKUP(E277,КВР!A167:B2098,2)))))</f>
        <v>Прочая закупка товаров, работ и услуг для государственных нужд</v>
      </c>
      <c r="B277" s="239"/>
      <c r="C277" s="241"/>
      <c r="D277" s="237"/>
      <c r="E277" s="240">
        <v>244</v>
      </c>
      <c r="F277" s="221">
        <v>254700</v>
      </c>
      <c r="G277" s="221">
        <v>236103</v>
      </c>
    </row>
    <row r="278" spans="1:7" ht="94.5" customHeight="1">
      <c r="A278" s="231" t="str">
        <f>IF(B278&gt;0,VLOOKUP(B278,КВСР!A168:B1333,2),IF(C278&gt;0,VLOOKUP(C278,КФСР!A168:B1680,2),IF(D278&gt;0,VLOOKUP(D278,КЦСР!A168:B4172,2),IF(E278&gt;0,VLOOKUP(E278,КВР!A168:B2099,2)))))</f>
        <v>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v>
      </c>
      <c r="B278" s="233"/>
      <c r="C278" s="241"/>
      <c r="D278" s="237">
        <v>4520000</v>
      </c>
      <c r="E278" s="240"/>
      <c r="F278" s="221">
        <v>25329176</v>
      </c>
      <c r="G278" s="221">
        <f>G279</f>
        <v>24708414</v>
      </c>
    </row>
    <row r="279" spans="1:7" ht="31.5">
      <c r="A279" s="231" t="str">
        <f>IF(B279&gt;0,VLOOKUP(B279,КВСР!A169:B1334,2),IF(C279&gt;0,VLOOKUP(C279,КФСР!A169:B1681,2),IF(D279&gt;0,VLOOKUP(D279,КЦСР!A169:B4173,2),IF(E279&gt;0,VLOOKUP(E279,КВР!A169:B2100,2)))))</f>
        <v>Обеспечение деятельности подведомственных учреждений</v>
      </c>
      <c r="B279" s="239"/>
      <c r="C279" s="241"/>
      <c r="D279" s="237">
        <v>4529900</v>
      </c>
      <c r="E279" s="331"/>
      <c r="F279" s="221">
        <v>25329176</v>
      </c>
      <c r="G279" s="221">
        <f>SUM(G280:G286)</f>
        <v>24708414</v>
      </c>
    </row>
    <row r="280" spans="1:7" ht="18" customHeight="1">
      <c r="A280" s="231" t="str">
        <f>IF(B280&gt;0,VLOOKUP(B280,КВСР!A170:B1335,2),IF(C280&gt;0,VLOOKUP(C280,КФСР!A170:B1682,2),IF(D280&gt;0,VLOOKUP(D280,КЦСР!A170:B4174,2),IF(E280&gt;0,VLOOKUP(E280,КВР!A170:B2101,2)))))</f>
        <v>Фонд оплаты труда и страховые взносы</v>
      </c>
      <c r="B280" s="239"/>
      <c r="C280" s="241"/>
      <c r="D280" s="237"/>
      <c r="E280" s="240">
        <v>121</v>
      </c>
      <c r="F280" s="221">
        <v>12104200</v>
      </c>
      <c r="G280" s="221">
        <v>11829334</v>
      </c>
    </row>
    <row r="281" spans="1:7" ht="47.25">
      <c r="A281" s="231" t="str">
        <f>IF(B281&gt;0,VLOOKUP(B281,КВСР!A171:B1336,2),IF(C281&gt;0,VLOOKUP(C281,КФСР!A171:B1683,2),IF(D281&gt;0,VLOOKUP(D281,КЦСР!A171:B4175,2),IF(E281&gt;0,VLOOKUP(E281,КВР!A171:B2102,2)))))</f>
        <v>Закупка товаров, работ, услуг в сфере информационно-коммуникационных технологий</v>
      </c>
      <c r="B281" s="239"/>
      <c r="C281" s="241"/>
      <c r="D281" s="237"/>
      <c r="E281" s="240">
        <v>242</v>
      </c>
      <c r="F281" s="221">
        <v>455520</v>
      </c>
      <c r="G281" s="221">
        <v>453610</v>
      </c>
    </row>
    <row r="282" spans="1:7" ht="31.5">
      <c r="A282" s="231" t="str">
        <f>IF(B282&gt;0,VLOOKUP(B282,КВСР!A172:B1337,2),IF(C282&gt;0,VLOOKUP(C282,КФСР!A172:B1684,2),IF(D282&gt;0,VLOOKUP(D282,КЦСР!A172:B4176,2),IF(E282&gt;0,VLOOKUP(E282,КВР!A172:B2103,2)))))</f>
        <v>Прочая закупка товаров, работ и услуг для государственных нужд</v>
      </c>
      <c r="B282" s="239"/>
      <c r="C282" s="241"/>
      <c r="D282" s="237"/>
      <c r="E282" s="240">
        <v>244</v>
      </c>
      <c r="F282" s="221">
        <v>1117702</v>
      </c>
      <c r="G282" s="221">
        <v>1025361</v>
      </c>
    </row>
    <row r="283" spans="1:7" ht="78.75">
      <c r="A283" s="231" t="str">
        <f>IF(B283&gt;0,VLOOKUP(B283,КВСР!A173:B1338,2),IF(C283&gt;0,VLOOKUP(C283,КФСР!A173:B1685,2),IF(D283&gt;0,VLOOKUP(D283,КЦСР!A173:B4177,2),IF(E283&gt;0,VLOOKUP(E283,КВР!A173:B2104,2)))))</f>
        <v>Субсидии бюджетным учреждениям на финансовое обеспечение государственного задания на оказание государственных услуг (выполнение работ)</v>
      </c>
      <c r="B283" s="239"/>
      <c r="C283" s="241"/>
      <c r="D283" s="237"/>
      <c r="E283" s="240">
        <v>611</v>
      </c>
      <c r="F283" s="221">
        <v>8450000</v>
      </c>
      <c r="G283" s="221">
        <v>8418897</v>
      </c>
    </row>
    <row r="284" spans="1:7" ht="31.5">
      <c r="A284" s="231" t="str">
        <f>IF(B284&gt;0,VLOOKUP(B284,КВСР!A174:B1339,2),IF(C284&gt;0,VLOOKUP(C284,КФСР!A174:B1686,2),IF(D284&gt;0,VLOOKUP(D284,КЦСР!A174:B4178,2),IF(E284&gt;0,VLOOKUP(E284,КВР!A174:B2105,2)))))</f>
        <v>Субсидии бюджетным учреждениям на иные цели</v>
      </c>
      <c r="B284" s="239"/>
      <c r="C284" s="241"/>
      <c r="D284" s="237"/>
      <c r="E284" s="240">
        <v>612</v>
      </c>
      <c r="F284" s="221">
        <v>5000</v>
      </c>
      <c r="G284" s="221">
        <v>3380</v>
      </c>
    </row>
    <row r="285" spans="1:7" ht="31.5">
      <c r="A285" s="231" t="str">
        <f>IF(B285&gt;0,VLOOKUP(B285,КВСР!A175:B1340,2),IF(C285&gt;0,VLOOKUP(C285,КФСР!A175:B1687,2),IF(D285&gt;0,VLOOKUP(D285,КЦСР!A175:B4179,2),IF(E285&gt;0,VLOOKUP(E285,КВР!A175:B2106,2)))))</f>
        <v>Уплата налога на имущество организаций и земельного налога</v>
      </c>
      <c r="B285" s="239"/>
      <c r="C285" s="241"/>
      <c r="D285" s="237"/>
      <c r="E285" s="240">
        <v>851</v>
      </c>
      <c r="F285" s="221">
        <v>3124754</v>
      </c>
      <c r="G285" s="221">
        <v>2921015</v>
      </c>
    </row>
    <row r="286" spans="1:7" ht="31.5">
      <c r="A286" s="231" t="str">
        <f>IF(B286&gt;0,VLOOKUP(B286,КВСР!A176:B1341,2),IF(C286&gt;0,VLOOKUP(C286,КФСР!A176:B1688,2),IF(D286&gt;0,VLOOKUP(D286,КЦСР!A176:B4180,2),IF(E286&gt;0,VLOOKUP(E286,КВР!A176:B2107,2)))))</f>
        <v>Уплата прочих налогов, сборов и иных обязательных платежей</v>
      </c>
      <c r="B286" s="239"/>
      <c r="C286" s="241"/>
      <c r="D286" s="237"/>
      <c r="E286" s="240">
        <v>852</v>
      </c>
      <c r="F286" s="221">
        <v>72000</v>
      </c>
      <c r="G286" s="221">
        <v>56817</v>
      </c>
    </row>
    <row r="287" spans="1:7" ht="31.5">
      <c r="A287" s="231" t="str">
        <f>IF(B287&gt;0,VLOOKUP(B287,КВСР!A177:B1342,2),IF(C287&gt;0,VLOOKUP(C287,КФСР!A177:B1689,2),IF(D287&gt;0,VLOOKUP(D287,КЦСР!A177:B4181,2),IF(E287&gt;0,VLOOKUP(E287,КВР!A177:B2108,2)))))</f>
        <v>Иные безвозмездные и безвозвратные перечисления</v>
      </c>
      <c r="B287" s="239"/>
      <c r="C287" s="241"/>
      <c r="D287" s="237">
        <v>5200000</v>
      </c>
      <c r="E287" s="240"/>
      <c r="F287" s="221">
        <v>176922</v>
      </c>
      <c r="G287" s="221">
        <f>G288</f>
        <v>176922</v>
      </c>
    </row>
    <row r="288" spans="1:7" ht="47.25">
      <c r="A288" s="231" t="str">
        <f>IF(B288&gt;0,VLOOKUP(B288,КВСР!A178:B1343,2),IF(C288&gt;0,VLOOKUP(C288,КФСР!A178:B1690,2),IF(D288&gt;0,VLOOKUP(D288,КЦСР!A178:B4182,2),IF(E288&gt;0,VLOOKUP(E288,КВР!A178:B2109,2)))))</f>
        <v>Реализация региональных программ повышения эффективности бюджетных расходов</v>
      </c>
      <c r="B288" s="239"/>
      <c r="C288" s="241"/>
      <c r="D288" s="237">
        <v>5202400</v>
      </c>
      <c r="E288" s="240"/>
      <c r="F288" s="221">
        <v>176922</v>
      </c>
      <c r="G288" s="221">
        <f>G289</f>
        <v>176922</v>
      </c>
    </row>
    <row r="289" spans="1:7" ht="47.25">
      <c r="A289" s="231" t="str">
        <f>IF(B289&gt;0,VLOOKUP(B289,КВСР!A179:B1344,2),IF(C289&gt;0,VLOOKUP(C289,КФСР!A179:B1691,2),IF(D289&gt;0,VLOOKUP(D289,КЦСР!A179:B4183,2),IF(E289&gt;0,VLOOKUP(E289,КВР!A179:B2110,2)))))</f>
        <v>Реализация муниципальной программы "Повышение эффективности бюджетных расходов"</v>
      </c>
      <c r="B289" s="239"/>
      <c r="C289" s="241"/>
      <c r="D289" s="237">
        <v>5202402</v>
      </c>
      <c r="E289" s="331"/>
      <c r="F289" s="221">
        <v>176922</v>
      </c>
      <c r="G289" s="221">
        <f>SUM(G290:G291)</f>
        <v>176922</v>
      </c>
    </row>
    <row r="290" spans="1:7" ht="19.5" customHeight="1">
      <c r="A290" s="231" t="str">
        <f>IF(B290&gt;0,VLOOKUP(B290,КВСР!A180:B1345,2),IF(C290&gt;0,VLOOKUP(C290,КФСР!A180:B1692,2),IF(D290&gt;0,VLOOKUP(D290,КЦСР!A180:B4184,2),IF(E290&gt;0,VLOOKUP(E290,КВР!A180:B2111,2)))))</f>
        <v>Фонд оплаты труда и страховые взносы</v>
      </c>
      <c r="B290" s="239"/>
      <c r="C290" s="241"/>
      <c r="D290" s="237"/>
      <c r="E290" s="240">
        <v>121</v>
      </c>
      <c r="F290" s="221">
        <v>76923</v>
      </c>
      <c r="G290" s="221">
        <v>76923</v>
      </c>
    </row>
    <row r="291" spans="1:7" ht="31.5">
      <c r="A291" s="231" t="str">
        <f>IF(B291&gt;0,VLOOKUP(B291,КВСР!A181:B1346,2),IF(C291&gt;0,VLOOKUP(C291,КФСР!A181:B1693,2),IF(D291&gt;0,VLOOKUP(D291,КЦСР!A181:B4185,2),IF(E291&gt;0,VLOOKUP(E291,КВР!A181:B2112,2)))))</f>
        <v>Прочая закупка товаров, работ и услуг для государственных нужд</v>
      </c>
      <c r="B291" s="239"/>
      <c r="C291" s="241"/>
      <c r="D291" s="237"/>
      <c r="E291" s="240">
        <v>244</v>
      </c>
      <c r="F291" s="221">
        <v>99999</v>
      </c>
      <c r="G291" s="221">
        <v>99999</v>
      </c>
    </row>
    <row r="292" spans="1:7" hidden="1">
      <c r="A292" s="231" t="str">
        <f>IF(B292&gt;0,VLOOKUP(B292,КВСР!A182:B1347,2),IF(C292&gt;0,VLOOKUP(C292,КФСР!A182:B1694,2),IF(D292&gt;0,VLOOKUP(D292,КЦСР!A182:B4186,2),IF(E292&gt;0,VLOOKUP(E292,КВР!A182:B2113,2)))))</f>
        <v>Региональные целевые программы</v>
      </c>
      <c r="B292" s="239"/>
      <c r="C292" s="241"/>
      <c r="D292" s="237">
        <v>5220000</v>
      </c>
      <c r="E292" s="240"/>
      <c r="F292" s="221">
        <v>2463950</v>
      </c>
      <c r="G292" s="221">
        <f>G293</f>
        <v>0</v>
      </c>
    </row>
    <row r="293" spans="1:7" ht="31.5" hidden="1">
      <c r="A293" s="231" t="str">
        <f>IF(B293&gt;0,VLOOKUP(B293,КВСР!A183:B1348,2),IF(C293&gt;0,VLOOKUP(C293,КФСР!A183:B1695,2),IF(D293&gt;0,VLOOKUP(D293,КЦСР!A183:B4187,2),IF(E293&gt;0,VLOOKUP(E293,КВР!A183:B2114,2)))))</f>
        <v>Программа "Обеспечение доступного дошкольного образования"</v>
      </c>
      <c r="B293" s="239"/>
      <c r="C293" s="241"/>
      <c r="D293" s="237">
        <v>5221200</v>
      </c>
      <c r="E293" s="331"/>
      <c r="F293" s="221">
        <v>0</v>
      </c>
      <c r="G293" s="221">
        <f>G294</f>
        <v>0</v>
      </c>
    </row>
    <row r="294" spans="1:7" ht="31.5" hidden="1">
      <c r="A294" s="231" t="str">
        <f>IF(B294&gt;0,VLOOKUP(B294,КВСР!A184:B1349,2),IF(C294&gt;0,VLOOKUP(C294,КФСР!A184:B1696,2),IF(D294&gt;0,VLOOKUP(D294,КЦСР!A184:B4188,2),IF(E294&gt;0,VLOOKUP(E294,КВР!A184:B2115,2)))))</f>
        <v>Субсидии бюджетным учреждениям на иные цели</v>
      </c>
      <c r="B294" s="239"/>
      <c r="C294" s="241"/>
      <c r="D294" s="237"/>
      <c r="E294" s="240">
        <v>612</v>
      </c>
      <c r="F294" s="221">
        <v>0</v>
      </c>
      <c r="G294" s="221"/>
    </row>
    <row r="295" spans="1:7" ht="63" customHeight="1">
      <c r="A295" s="231" t="str">
        <f>IF(B295&gt;0,VLOOKUP(B295,КВСР!A185:B1350,2),IF(C295&gt;0,VLOOKUP(C295,КФСР!A185:B1697,2),IF(D295&gt;0,VLOOKUP(D295,КЦСР!A185:B4189,2),IF(E295&gt;0,VLOOKUP(E295,КВР!A185:B2116,2)))))</f>
        <v>Областная целевая программа "Комплексные меры противодействия злоупотреблению наркотиками и их незаконному обороту"</v>
      </c>
      <c r="B295" s="233"/>
      <c r="C295" s="241"/>
      <c r="D295" s="235">
        <v>5222900</v>
      </c>
      <c r="E295" s="236"/>
      <c r="F295" s="221">
        <v>432300</v>
      </c>
      <c r="G295" s="221">
        <f t="shared" ref="G295:G296" si="1">G296</f>
        <v>432300</v>
      </c>
    </row>
    <row r="296" spans="1:7" ht="63.75" customHeight="1">
      <c r="A296" s="231" t="str">
        <f>IF(B296&gt;0,VLOOKUP(B296,КВСР!A186:B1351,2),IF(C296&gt;0,VLOOKUP(C296,КФСР!A186:B1698,2),IF(D296&gt;0,VLOOKUP(D296,КЦСР!A186:B4190,2),IF(E296&gt;0,VLOOKUP(E296,КВР!A186:B2117,2)))))</f>
        <v>Областная целевая программа "Комплексные меры противодействия злоупотреблению наркотиками и их незаконному обороту"</v>
      </c>
      <c r="B296" s="233"/>
      <c r="C296" s="234"/>
      <c r="D296" s="235">
        <v>5222902</v>
      </c>
      <c r="E296" s="331"/>
      <c r="F296" s="221">
        <v>432300</v>
      </c>
      <c r="G296" s="221">
        <f t="shared" si="1"/>
        <v>432300</v>
      </c>
    </row>
    <row r="297" spans="1:7" ht="31.5">
      <c r="A297" s="231" t="str">
        <f>IF(B297&gt;0,VLOOKUP(B297,КВСР!A187:B1352,2),IF(C297&gt;0,VLOOKUP(C297,КФСР!A187:B1699,2),IF(D297&gt;0,VLOOKUP(D297,КЦСР!A187:B4191,2),IF(E297&gt;0,VLOOKUP(E297,КВР!A187:B2118,2)))))</f>
        <v>Субсидии бюджетным учреждениям на иные цели</v>
      </c>
      <c r="B297" s="233"/>
      <c r="C297" s="234"/>
      <c r="D297" s="235"/>
      <c r="E297" s="236">
        <v>612</v>
      </c>
      <c r="F297" s="221">
        <v>432300</v>
      </c>
      <c r="G297" s="221">
        <v>432300</v>
      </c>
    </row>
    <row r="298" spans="1:7" ht="47.25">
      <c r="A298" s="231" t="str">
        <f>IF(B298&gt;0,VLOOKUP(B298,КВСР!A188:B1353,2),IF(C298&gt;0,VLOOKUP(C298,КФСР!A188:B1700,2),IF(D298&gt;0,VLOOKUP(D298,КЦСР!A188:B4192,2),IF(E298&gt;0,VLOOKUP(E298,КВР!A188:B2119,2)))))</f>
        <v>ОЦП "Обеспечение муниципальных районов документацией территориального планирования"</v>
      </c>
      <c r="B298" s="233"/>
      <c r="C298" s="234"/>
      <c r="D298" s="235">
        <v>5227200</v>
      </c>
      <c r="E298" s="236"/>
      <c r="F298" s="221">
        <v>2031650</v>
      </c>
      <c r="G298" s="221">
        <f t="shared" ref="G298:G299" si="2">G299</f>
        <v>391260</v>
      </c>
    </row>
    <row r="299" spans="1:7" ht="47.25">
      <c r="A299" s="231" t="str">
        <f>IF(B299&gt;0,VLOOKUP(B299,КВСР!A189:B1354,2),IF(C299&gt;0,VLOOKUP(C299,КФСР!A189:B1701,2),IF(D299&gt;0,VLOOKUP(D299,КЦСР!A189:B4193,2),IF(E299&gt;0,VLOOKUP(E299,КВР!A189:B2120,2)))))</f>
        <v>Реализацию областной целевой программы "Доступная среда" в сфере образования</v>
      </c>
      <c r="B299" s="233"/>
      <c r="C299" s="234"/>
      <c r="D299" s="235">
        <v>5227210</v>
      </c>
      <c r="E299" s="331"/>
      <c r="F299" s="221">
        <v>2031650</v>
      </c>
      <c r="G299" s="221">
        <f t="shared" si="2"/>
        <v>391260</v>
      </c>
    </row>
    <row r="300" spans="1:7" ht="31.5">
      <c r="A300" s="231" t="str">
        <f>IF(B300&gt;0,VLOOKUP(B300,КВСР!A190:B1355,2),IF(C300&gt;0,VLOOKUP(C300,КФСР!A190:B1702,2),IF(D300&gt;0,VLOOKUP(D300,КЦСР!A190:B4194,2),IF(E300&gt;0,VLOOKUP(E300,КВР!A190:B2121,2)))))</f>
        <v>Субсидии бюджетным учреждениям на иные цели</v>
      </c>
      <c r="B300" s="233"/>
      <c r="C300" s="234"/>
      <c r="D300" s="235"/>
      <c r="E300" s="236">
        <v>612</v>
      </c>
      <c r="F300" s="221">
        <v>2031650</v>
      </c>
      <c r="G300" s="221">
        <v>391260</v>
      </c>
    </row>
    <row r="301" spans="1:7" ht="31.5">
      <c r="A301" s="231" t="str">
        <f>IF(B301&gt;0,VLOOKUP(B301,КВСР!A191:B1356,2),IF(C301&gt;0,VLOOKUP(C301,КФСР!A191:B1703,2),IF(D301&gt;0,VLOOKUP(D301,КЦСР!A191:B4195,2),IF(E301&gt;0,VLOOKUP(E301,КВР!A191:B2122,2)))))</f>
        <v>Целевые программы муниципальных образований</v>
      </c>
      <c r="B301" s="233"/>
      <c r="C301" s="234"/>
      <c r="D301" s="235">
        <v>7950000</v>
      </c>
      <c r="E301" s="236"/>
      <c r="F301" s="221">
        <v>1150300</v>
      </c>
      <c r="G301" s="221">
        <f>G302</f>
        <v>1115035</v>
      </c>
    </row>
    <row r="302" spans="1:7" ht="47.25">
      <c r="A302" s="231" t="str">
        <f>IF(B302&gt;0,VLOOKUP(B302,КВСР!A192:B1357,2),IF(C302&gt;0,VLOOKUP(C302,КФСР!A192:B1704,2),IF(D302&gt;0,VLOOKUP(D302,КЦСР!A192:B4196,2),IF(E302&gt;0,VLOOKUP(E302,КВР!A192:B2123,2)))))</f>
        <v>Программа соц. защиты населения Тутаевского муниципального района на 2011-2013 годы</v>
      </c>
      <c r="B302" s="233"/>
      <c r="C302" s="234"/>
      <c r="D302" s="235">
        <v>7950100</v>
      </c>
      <c r="E302" s="331"/>
      <c r="F302" s="221">
        <v>1142000</v>
      </c>
      <c r="G302" s="221">
        <f>SUM(G303:G305)</f>
        <v>1115035</v>
      </c>
    </row>
    <row r="303" spans="1:7">
      <c r="A303" s="231" t="str">
        <f>IF(B303&gt;0,VLOOKUP(B303,КВСР!A193:B1358,2),IF(C303&gt;0,VLOOKUP(C303,КФСР!A193:B1705,2),IF(D303&gt;0,VLOOKUP(D303,КЦСР!A193:B4197,2),IF(E303&gt;0,VLOOKUP(E303,КВР!A193:B2124,2)))))</f>
        <v>Стипендии</v>
      </c>
      <c r="B303" s="233"/>
      <c r="C303" s="234"/>
      <c r="D303" s="235"/>
      <c r="E303" s="236">
        <v>340</v>
      </c>
      <c r="F303" s="221">
        <v>346500</v>
      </c>
      <c r="G303" s="221">
        <v>344000</v>
      </c>
    </row>
    <row r="304" spans="1:7">
      <c r="A304" s="231" t="str">
        <f>IF(B304&gt;0,VLOOKUP(B304,КВСР!A194:B1359,2),IF(C304&gt;0,VLOOKUP(C304,КФСР!A194:B1706,2),IF(D304&gt;0,VLOOKUP(D304,КЦСР!A194:B4198,2),IF(E304&gt;0,VLOOKUP(E304,КВР!A194:B2125,2)))))</f>
        <v>Премии и гранты</v>
      </c>
      <c r="B304" s="233"/>
      <c r="C304" s="234"/>
      <c r="D304" s="235"/>
      <c r="E304" s="236">
        <v>350</v>
      </c>
      <c r="F304" s="221">
        <v>40500</v>
      </c>
      <c r="G304" s="221">
        <v>40500</v>
      </c>
    </row>
    <row r="305" spans="1:7" ht="47.25">
      <c r="A305" s="231" t="str">
        <f>IF(B305&gt;0,VLOOKUP(B305,КВСР!A195:B1360,2),IF(C305&gt;0,VLOOKUP(C305,КФСР!A195:B1707,2),IF(D305&gt;0,VLOOKUP(D305,КЦСР!A195:B4199,2),IF(E305&gt;0,VLOOKUP(E305,КВР!A195:B2126,2)))))</f>
        <v>Субсидии некоммерческим организациям (за исключением государственных учреждений)</v>
      </c>
      <c r="B305" s="233"/>
      <c r="C305" s="234"/>
      <c r="D305" s="235"/>
      <c r="E305" s="236">
        <v>630</v>
      </c>
      <c r="F305" s="221">
        <v>755000</v>
      </c>
      <c r="G305" s="221">
        <v>730535</v>
      </c>
    </row>
    <row r="306" spans="1:7" ht="63">
      <c r="A306" s="231" t="str">
        <f>IF(B306&gt;0,VLOOKUP(B306,КВСР!A196:B1361,2),IF(C306&gt;0,VLOOKUP(C306,КФСР!A196:B1708,2),IF(D306&gt;0,VLOOKUP(D306,КЦСР!A196:B4200,2),IF(E306&gt;0,VLOOKUP(E306,КВР!A196:B2127,2)))))</f>
        <v>МЦП "Патриотическое воспитание граждан РФ, проживающих на территории ТМР ЯО, на 2011-2013 годы"</v>
      </c>
      <c r="B306" s="233"/>
      <c r="C306" s="234"/>
      <c r="D306" s="235">
        <v>7950900</v>
      </c>
      <c r="E306" s="331"/>
      <c r="F306" s="221">
        <v>8300</v>
      </c>
      <c r="G306" s="221">
        <f>G307</f>
        <v>4000</v>
      </c>
    </row>
    <row r="307" spans="1:7" ht="30.75" customHeight="1">
      <c r="A307" s="231" t="str">
        <f>IF(B307&gt;0,VLOOKUP(B307,КВСР!A197:B1362,2),IF(C307&gt;0,VLOOKUP(C307,КФСР!A197:B1709,2),IF(D307&gt;0,VLOOKUP(D307,КЦСР!A197:B4201,2),IF(E307&gt;0,VLOOKUP(E307,КВР!A197:B2128,2)))))</f>
        <v>Прочая закупка товаров, работ и услуг для государственных нужд</v>
      </c>
      <c r="B307" s="233"/>
      <c r="C307" s="234"/>
      <c r="D307" s="235"/>
      <c r="E307" s="236">
        <v>244</v>
      </c>
      <c r="F307" s="221">
        <v>8300</v>
      </c>
      <c r="G307" s="221">
        <v>4000</v>
      </c>
    </row>
    <row r="308" spans="1:7" hidden="1">
      <c r="A308" s="231" t="str">
        <f>IF(B308&gt;0,VLOOKUP(B308,КВСР!A199:B1364,2),IF(C308&gt;0,VLOOKUP(C308,КФСР!A199:B1711,2),IF(D308&gt;0,VLOOKUP(D308,КЦСР!A199:B4203,2),IF(E308&gt;0,VLOOKUP(E308,КВР!A199:B2130,2)))))</f>
        <v>Социальное обеспечение населения</v>
      </c>
      <c r="B308" s="233"/>
      <c r="C308" s="234">
        <v>1003</v>
      </c>
      <c r="D308" s="235">
        <v>5050000</v>
      </c>
      <c r="E308" s="236"/>
      <c r="F308" s="221">
        <v>0</v>
      </c>
      <c r="G308" s="221"/>
    </row>
    <row r="309" spans="1:7" ht="31.5" hidden="1">
      <c r="A309" s="231" t="str">
        <f>IF(B309&gt;0,VLOOKUP(B309,КВСР!A200:B1365,2),IF(C309&gt;0,VLOOKUP(C309,КФСР!A200:B1712,2),IF(D309&gt;0,VLOOKUP(D309,КЦСР!A200:B4204,2),IF(E309&gt;0,VLOOKUP(E309,КВР!A200:B2131,2)))))</f>
        <v>Оказание других видов социальной помощи</v>
      </c>
      <c r="B309" s="233"/>
      <c r="C309" s="234"/>
      <c r="D309" s="235">
        <v>5058600</v>
      </c>
      <c r="E309" s="331"/>
      <c r="F309" s="221">
        <v>0</v>
      </c>
      <c r="G309" s="221">
        <f t="shared" ref="G309" si="3">G310</f>
        <v>0</v>
      </c>
    </row>
    <row r="310" spans="1:7" ht="47.25" hidden="1">
      <c r="A310" s="231" t="str">
        <f>IF(B310&gt;0,VLOOKUP(B310,КВСР!A201:B1366,2),IF(C310&gt;0,VLOOKUP(C310,КФСР!A201:B1713,2),IF(D310&gt;0,VLOOKUP(D310,КЦСР!A201:B4205,2),IF(E310&gt;0,VLOOKUP(E310,КВР!A201:B2132,2)))))</f>
        <v>Меры социальной поддержки населения по публичным нормативным обязательствам</v>
      </c>
      <c r="B310" s="233"/>
      <c r="C310" s="234"/>
      <c r="D310" s="235"/>
      <c r="E310" s="236">
        <v>314</v>
      </c>
      <c r="F310" s="221">
        <v>0</v>
      </c>
      <c r="G310" s="221"/>
    </row>
    <row r="311" spans="1:7">
      <c r="A311" s="231" t="str">
        <f>IF(B311&gt;0,VLOOKUP(B311,КВСР!A202:B1367,2),IF(C311&gt;0,VLOOKUP(C311,КФСР!A202:B1714,2),IF(D311&gt;0,VLOOKUP(D311,КЦСР!A202:B4206,2),IF(E311&gt;0,VLOOKUP(E311,КВР!A202:B2133,2)))))</f>
        <v>Охрана семьи и детства</v>
      </c>
      <c r="B311" s="239"/>
      <c r="C311" s="234">
        <v>1004</v>
      </c>
      <c r="D311" s="242"/>
      <c r="E311" s="240"/>
      <c r="F311" s="221">
        <v>32024404</v>
      </c>
      <c r="G311" s="221">
        <f>G314+G318+G323+G326+G331+G336</f>
        <v>31161198</v>
      </c>
    </row>
    <row r="312" spans="1:7">
      <c r="A312" s="231" t="str">
        <f>IF(B312&gt;0,VLOOKUP(B312,КВСР!A203:B1368,2),IF(C312&gt;0,VLOOKUP(C312,КФСР!A203:B1715,2),IF(D312&gt;0,VLOOKUP(D312,КЦСР!A203:B4207,2),IF(E312&gt;0,VLOOKUP(E312,КВР!A203:B2134,2)))))</f>
        <v>Социальная помощь</v>
      </c>
      <c r="B312" s="233"/>
      <c r="C312" s="243"/>
      <c r="D312" s="235">
        <v>5050000</v>
      </c>
      <c r="E312" s="240"/>
      <c r="F312" s="221">
        <v>314103</v>
      </c>
      <c r="G312" s="221">
        <f t="shared" ref="G312:G314" si="4">G313</f>
        <v>287927</v>
      </c>
    </row>
    <row r="313" spans="1:7" ht="50.25" customHeight="1">
      <c r="A313" s="231" t="str">
        <f>IF(B313&gt;0,VLOOKUP(B313,КВСР!A204:B1369,2),IF(C313&gt;0,VLOOKUP(C313,КФСР!A204:B1716,2),IF(D313&gt;0,VLOOKUP(D313,КЦСР!A204:B4208,2),IF(E313&gt;0,VLOOKUP(E313,КВР!A204:B2135,2)))))</f>
        <v>Федеральный закон от 19 мая 1995 года № 81-ФЗ "О государственных пособиях гражданам, имеющим детей"</v>
      </c>
      <c r="B313" s="233"/>
      <c r="C313" s="234"/>
      <c r="D313" s="235">
        <v>5050500</v>
      </c>
      <c r="E313" s="240"/>
      <c r="F313" s="221">
        <v>314103</v>
      </c>
      <c r="G313" s="221">
        <f t="shared" si="4"/>
        <v>287927</v>
      </c>
    </row>
    <row r="314" spans="1:7" ht="63">
      <c r="A314" s="231" t="str">
        <f>IF(B314&gt;0,VLOOKUP(B314,КВСР!A205:B1370,2),IF(C314&gt;0,VLOOKUP(C314,КФСР!A205:B1717,2),IF(D314&gt;0,VLOOKUP(D314,КЦСР!A205:B4209,2),IF(E314&gt;0,VLOOKUP(E314,КВР!A205:B2136,2)))))</f>
        <v>Выплата единовременного пособия при всех формах устройства детей, лишенных родительского попечения, в семью</v>
      </c>
      <c r="B314" s="233"/>
      <c r="C314" s="234"/>
      <c r="D314" s="235">
        <v>5050502</v>
      </c>
      <c r="E314" s="331"/>
      <c r="F314" s="221">
        <v>314103</v>
      </c>
      <c r="G314" s="221">
        <f t="shared" si="4"/>
        <v>287927</v>
      </c>
    </row>
    <row r="315" spans="1:7" ht="39.75" customHeight="1">
      <c r="A315" s="231" t="str">
        <f>IF(B315&gt;0,VLOOKUP(B315,КВСР!A206:B1371,2),IF(C315&gt;0,VLOOKUP(C315,КФСР!A206:B1718,2),IF(D315&gt;0,VLOOKUP(D315,КЦСР!A206:B4210,2),IF(E315&gt;0,VLOOKUP(E315,КВР!A206:B2137,2)))))</f>
        <v>Пособия и компенсации по публичным нормативным обязательствам</v>
      </c>
      <c r="B315" s="233"/>
      <c r="C315" s="234"/>
      <c r="D315" s="242"/>
      <c r="E315" s="240">
        <v>313</v>
      </c>
      <c r="F315" s="221">
        <v>314103</v>
      </c>
      <c r="G315" s="221">
        <v>287927</v>
      </c>
    </row>
    <row r="316" spans="1:7" ht="34.5" customHeight="1">
      <c r="A316" s="231" t="str">
        <f>IF(B316&gt;0,VLOOKUP(B316,КВСР!A207:B1372,2),IF(C316&gt;0,VLOOKUP(C316,КФСР!A207:B1719,2),IF(D316&gt;0,VLOOKUP(D316,КЦСР!A207:B4211,2),IF(E316&gt;0,VLOOKUP(E316,КВР!A207:B2138,2)))))</f>
        <v>Реализация государственных функций в области социальной политики</v>
      </c>
      <c r="B316" s="233"/>
      <c r="C316" s="234"/>
      <c r="D316" s="235">
        <v>5140000</v>
      </c>
      <c r="E316" s="240"/>
      <c r="F316" s="221">
        <v>1285362</v>
      </c>
      <c r="G316" s="221">
        <f t="shared" ref="G316:G317" si="5">G317</f>
        <v>1208232</v>
      </c>
    </row>
    <row r="317" spans="1:7" ht="31.5">
      <c r="A317" s="231" t="str">
        <f>IF(B317&gt;0,VLOOKUP(B317,КВСР!A208:B1373,2),IF(C317&gt;0,VLOOKUP(C317,КФСР!A208:B1720,2),IF(D317&gt;0,VLOOKUP(D317,КЦСР!A208:B4212,2),IF(E317&gt;0,VLOOKUP(E317,КВР!A208:B2139,2)))))</f>
        <v>Мероприятия в области социальной политики</v>
      </c>
      <c r="B317" s="233"/>
      <c r="C317" s="234"/>
      <c r="D317" s="235">
        <v>5140100</v>
      </c>
      <c r="E317" s="240"/>
      <c r="F317" s="221">
        <v>1285362</v>
      </c>
      <c r="G317" s="221">
        <f t="shared" si="5"/>
        <v>1208232</v>
      </c>
    </row>
    <row r="318" spans="1:7" ht="20.25" customHeight="1">
      <c r="A318" s="231" t="str">
        <f>IF(B318&gt;0,VLOOKUP(B318,КВСР!A209:B1374,2),IF(C318&gt;0,VLOOKUP(C318,КФСР!A209:B1721,2),IF(D318&gt;0,VLOOKUP(D318,КЦСР!A209:B4213,2),IF(E318&gt;0,VLOOKUP(E318,КВР!A209:B2140,2)))))</f>
        <v>Господдержка опеки и попечительства</v>
      </c>
      <c r="B318" s="233"/>
      <c r="C318" s="234"/>
      <c r="D318" s="235">
        <v>5140110</v>
      </c>
      <c r="E318" s="331"/>
      <c r="F318" s="221">
        <v>1285362</v>
      </c>
      <c r="G318" s="221">
        <f>SUM(G319:G321)</f>
        <v>1208232</v>
      </c>
    </row>
    <row r="319" spans="1:7" ht="31.5">
      <c r="A319" s="231" t="str">
        <f>IF(B319&gt;0,VLOOKUP(B319,КВСР!A210:B1375,2),IF(C319&gt;0,VLOOKUP(C319,КФСР!A210:B1722,2),IF(D319&gt;0,VLOOKUP(D319,КЦСР!A210:B4214,2),IF(E319&gt;0,VLOOKUP(E319,КВР!A210:B2141,2)))))</f>
        <v>Прочая закупка товаров, работ и услуг для государственных нужд</v>
      </c>
      <c r="B319" s="233"/>
      <c r="C319" s="234"/>
      <c r="D319" s="235"/>
      <c r="E319" s="240">
        <v>244</v>
      </c>
      <c r="F319" s="221">
        <v>221443</v>
      </c>
      <c r="G319" s="221">
        <v>204175</v>
      </c>
    </row>
    <row r="320" spans="1:7" ht="35.25" customHeight="1">
      <c r="A320" s="231" t="str">
        <f>IF(B320&gt;0,VLOOKUP(B320,КВСР!A211:B1376,2),IF(C320&gt;0,VLOOKUP(C320,КФСР!A211:B1723,2),IF(D320&gt;0,VLOOKUP(D320,КЦСР!A211:B4215,2),IF(E320&gt;0,VLOOKUP(E320,КВР!A211:B2142,2)))))</f>
        <v>Пособия и компенсации по публичным нормативным обязательствам</v>
      </c>
      <c r="B320" s="233"/>
      <c r="C320" s="234"/>
      <c r="D320" s="235"/>
      <c r="E320" s="240">
        <v>313</v>
      </c>
      <c r="F320" s="221">
        <v>376919</v>
      </c>
      <c r="G320" s="221">
        <v>317057</v>
      </c>
    </row>
    <row r="321" spans="1:7" ht="31.5">
      <c r="A321" s="231" t="str">
        <f>IF(B321&gt;0,VLOOKUP(B321,КВСР!A212:B1377,2),IF(C321&gt;0,VLOOKUP(C321,КФСР!A212:B1724,2),IF(D321&gt;0,VLOOKUP(D321,КЦСР!A212:B4216,2),IF(E321&gt;0,VLOOKUP(E321,КВР!A212:B2143,2)))))</f>
        <v>Субсидии бюджетным учреждениям на иные цели</v>
      </c>
      <c r="B321" s="233"/>
      <c r="C321" s="234"/>
      <c r="D321" s="235"/>
      <c r="E321" s="240">
        <v>612</v>
      </c>
      <c r="F321" s="221">
        <v>687000</v>
      </c>
      <c r="G321" s="221">
        <v>687000</v>
      </c>
    </row>
    <row r="322" spans="1:7" ht="31.5">
      <c r="A322" s="231" t="str">
        <f>IF(B322&gt;0,VLOOKUP(B322,КВСР!A213:B1378,2),IF(C322&gt;0,VLOOKUP(C322,КФСР!A213:B1725,2),IF(D322&gt;0,VLOOKUP(D322,КЦСР!A213:B4217,2),IF(E322&gt;0,VLOOKUP(E322,КВР!A213:B2144,2)))))</f>
        <v>Иные безвозмездные и безвозвратные перечисления</v>
      </c>
      <c r="B322" s="233"/>
      <c r="C322" s="234"/>
      <c r="D322" s="243">
        <v>5200000</v>
      </c>
      <c r="E322" s="240"/>
      <c r="F322" s="244">
        <v>30194939</v>
      </c>
      <c r="G322" s="221">
        <f t="shared" ref="G322:G323" si="6">G323</f>
        <v>5650000</v>
      </c>
    </row>
    <row r="323" spans="1:7" ht="110.25">
      <c r="A323" s="231" t="str">
        <f>IF(B323&gt;0,VLOOKUP(B323,КВСР!A214:B1379,2),IF(C323&gt;0,VLOOKUP(C323,КФСР!A214:B1726,2),IF(D323&gt;0,VLOOKUP(D323,КЦСР!A214:B4218,2),IF(E323&gt;0,VLOOKUP(E323,КВР!A214:B2145,2)))))</f>
        <v>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v>
      </c>
      <c r="B323" s="233"/>
      <c r="C323" s="234"/>
      <c r="D323" s="243">
        <v>5201000</v>
      </c>
      <c r="E323" s="331"/>
      <c r="F323" s="244">
        <v>6389000</v>
      </c>
      <c r="G323" s="221">
        <f t="shared" si="6"/>
        <v>5650000</v>
      </c>
    </row>
    <row r="324" spans="1:7" ht="33.75" customHeight="1">
      <c r="A324" s="231" t="str">
        <f>IF(B324&gt;0,VLOOKUP(B324,КВСР!A215:B1380,2),IF(C324&gt;0,VLOOKUP(C324,КФСР!A215:B1727,2),IF(D324&gt;0,VLOOKUP(D324,КЦСР!A215:B4219,2),IF(E324&gt;0,VLOOKUP(E324,КВР!A215:B2146,2)))))</f>
        <v>Пособия и компенсации по публичным нормативным обязательствам</v>
      </c>
      <c r="B324" s="239"/>
      <c r="C324" s="234"/>
      <c r="D324" s="243"/>
      <c r="E324" s="240">
        <v>313</v>
      </c>
      <c r="F324" s="221">
        <v>6389000</v>
      </c>
      <c r="G324" s="221">
        <v>5650000</v>
      </c>
    </row>
    <row r="325" spans="1:7" ht="63">
      <c r="A325" s="231" t="str">
        <f>IF(B325&gt;0,VLOOKUP(B325,КВСР!A216:B1381,2),IF(C325&gt;0,VLOOKUP(C325,КФСР!A216:B1728,2),IF(D325&gt;0,VLOOKUP(D325,КЦСР!A216:B4220,2),IF(E325&gt;0,VLOOKUP(E325,КВР!A216:B2147,2)))))</f>
        <v>Содержание ребенка в семье опекуна и приемной семье, а также вознаграждение, причитающееся приемному родителю</v>
      </c>
      <c r="B325" s="239"/>
      <c r="C325" s="234"/>
      <c r="D325" s="237">
        <v>5201300</v>
      </c>
      <c r="E325" s="240"/>
      <c r="F325" s="221">
        <v>23805939</v>
      </c>
      <c r="G325" s="221">
        <f t="shared" ref="G325" si="7">G326</f>
        <v>23785039</v>
      </c>
    </row>
    <row r="326" spans="1:7" ht="63">
      <c r="A326" s="231" t="str">
        <f>IF(B326&gt;0,VLOOKUP(B326,КВСР!A217:B1382,2),IF(C326&gt;0,VLOOKUP(C326,КФСР!A217:B1729,2),IF(D326&gt;0,VLOOKUP(D326,КЦСР!A217:B4221,2),IF(E326&gt;0,VLOOKUP(E326,КВР!A217:B2148,2)))))</f>
        <v>Содержание ребенка в семье опекуна и приемной семье, а также вознаграждение, причитающееся приемному родителю</v>
      </c>
      <c r="B326" s="239"/>
      <c r="C326" s="241"/>
      <c r="D326" s="237">
        <v>5201301</v>
      </c>
      <c r="E326" s="331"/>
      <c r="F326" s="221">
        <v>23805939</v>
      </c>
      <c r="G326" s="221">
        <f>SUM(G327:G328)</f>
        <v>23785039</v>
      </c>
    </row>
    <row r="327" spans="1:7" ht="31.5">
      <c r="A327" s="231" t="str">
        <f>IF(B327&gt;0,VLOOKUP(B327,КВСР!A218:B1383,2),IF(C327&gt;0,VLOOKUP(C327,КФСР!A218:B1730,2),IF(D327&gt;0,VLOOKUP(D327,КЦСР!A218:B4222,2),IF(E327&gt;0,VLOOKUP(E327,КВР!A218:B2149,2)))))</f>
        <v>Прочая закупка товаров, работ и услуг для государственных нужд</v>
      </c>
      <c r="B327" s="239"/>
      <c r="C327" s="241"/>
      <c r="D327" s="237"/>
      <c r="E327" s="240">
        <v>244</v>
      </c>
      <c r="F327" s="221">
        <v>6541134</v>
      </c>
      <c r="G327" s="221">
        <v>6531550</v>
      </c>
    </row>
    <row r="328" spans="1:7" ht="34.5" customHeight="1">
      <c r="A328" s="231" t="str">
        <f>IF(B328&gt;0,VLOOKUP(B328,КВСР!A219:B1384,2),IF(C328&gt;0,VLOOKUP(C328,КФСР!A219:B1731,2),IF(D328&gt;0,VLOOKUP(D328,КЦСР!A219:B4223,2),IF(E328&gt;0,VLOOKUP(E328,КВР!A219:B2150,2)))))</f>
        <v>Пособия и компенсации по публичным нормативным обязательствам</v>
      </c>
      <c r="B328" s="239"/>
      <c r="C328" s="241"/>
      <c r="D328" s="237"/>
      <c r="E328" s="240">
        <v>313</v>
      </c>
      <c r="F328" s="221">
        <v>17264805</v>
      </c>
      <c r="G328" s="221">
        <v>17253489</v>
      </c>
    </row>
    <row r="329" spans="1:7" s="21" customFormat="1">
      <c r="A329" s="231" t="str">
        <f>IF(B329&gt;0,VLOOKUP(B329,КВСР!A220:B1385,2),IF(C329&gt;0,VLOOKUP(C329,КФСР!A220:B1732,2),IF(D329&gt;0,VLOOKUP(D329,КЦСР!A220:B4224,2),IF(E329&gt;0,VLOOKUP(E329,КВР!A220:B2151,2)))))</f>
        <v>Региональные целевые программы</v>
      </c>
      <c r="B329" s="239"/>
      <c r="C329" s="241"/>
      <c r="D329" s="235">
        <v>5220000</v>
      </c>
      <c r="E329" s="236"/>
      <c r="F329" s="221">
        <v>230000</v>
      </c>
      <c r="G329" s="221">
        <f t="shared" ref="G329:G330" si="8">G330</f>
        <v>230000</v>
      </c>
    </row>
    <row r="330" spans="1:7" s="21" customFormat="1" ht="31.5">
      <c r="A330" s="231" t="str">
        <f>IF(B330&gt;0,VLOOKUP(B330,КВСР!A221:B1386,2),IF(C330&gt;0,VLOOKUP(C330,КФСР!A221:B1733,2),IF(D330&gt;0,VLOOKUP(D330,КЦСР!A221:B4225,2),IF(E330&gt;0,VLOOKUP(E330,КВР!A221:B2152,2)))))</f>
        <v>Областная комплексная целевая программа "Семья и дети Ярославии"</v>
      </c>
      <c r="B330" s="239"/>
      <c r="C330" s="241"/>
      <c r="D330" s="235">
        <v>5221300</v>
      </c>
      <c r="E330" s="236"/>
      <c r="F330" s="221">
        <v>230000</v>
      </c>
      <c r="G330" s="221">
        <f t="shared" si="8"/>
        <v>230000</v>
      </c>
    </row>
    <row r="331" spans="1:7" s="21" customFormat="1" ht="47.25">
      <c r="A331" s="231" t="str">
        <f>IF(B331&gt;0,VLOOKUP(B331,КВСР!A222:B1387,2),IF(C331&gt;0,VLOOKUP(C331,КФСР!A222:B1734,2),IF(D331&gt;0,VLOOKUP(D331,КЦСР!A222:B4226,2),IF(E331&gt;0,VLOOKUP(E331,КВР!A222:B2153,2)))))</f>
        <v>Реализация подпрограмм "Семья", "Дети-сироты", Дети-инвалиды", "Одаренные дети"</v>
      </c>
      <c r="B331" s="239"/>
      <c r="C331" s="241"/>
      <c r="D331" s="235">
        <v>5221306</v>
      </c>
      <c r="E331" s="265"/>
      <c r="F331" s="221">
        <v>230000</v>
      </c>
      <c r="G331" s="221">
        <f>SUM(G332:G334)</f>
        <v>230000</v>
      </c>
    </row>
    <row r="332" spans="1:7" s="21" customFormat="1" ht="31.5">
      <c r="A332" s="231" t="str">
        <f>IF(B332&gt;0,VLOOKUP(B332,КВСР!A223:B1388,2),IF(C332&gt;0,VLOOKUP(C332,КФСР!A223:B1735,2),IF(D332&gt;0,VLOOKUP(D332,КЦСР!A223:B4227,2),IF(E332&gt;0,VLOOKUP(E332,КВР!A223:B2154,2)))))</f>
        <v>Прочая закупка товаров, работ и услуг для государственных нужд</v>
      </c>
      <c r="B332" s="239"/>
      <c r="C332" s="241"/>
      <c r="D332" s="235"/>
      <c r="E332" s="236">
        <v>244</v>
      </c>
      <c r="F332" s="221">
        <v>66700</v>
      </c>
      <c r="G332" s="221">
        <v>66700</v>
      </c>
    </row>
    <row r="333" spans="1:7" s="21" customFormat="1" ht="31.5">
      <c r="A333" s="231" t="str">
        <f>IF(B333&gt;0,VLOOKUP(B333,КВСР!A224:B1389,2),IF(C333&gt;0,VLOOKUP(C333,КФСР!A224:B1736,2),IF(D333&gt;0,VLOOKUP(D333,КЦСР!A224:B4228,2),IF(E333&gt;0,VLOOKUP(E333,КВР!A224:B2155,2)))))</f>
        <v>Приобретение товаров, работ, услуг в пользу граждан</v>
      </c>
      <c r="B333" s="233"/>
      <c r="C333" s="241"/>
      <c r="D333" s="235"/>
      <c r="E333" s="236">
        <v>323</v>
      </c>
      <c r="F333" s="221">
        <v>34400</v>
      </c>
      <c r="G333" s="221">
        <v>34400</v>
      </c>
    </row>
    <row r="334" spans="1:7" s="21" customFormat="1" ht="30.75" customHeight="1">
      <c r="A334" s="231" t="str">
        <f>IF(B334&gt;0,VLOOKUP(B334,КВСР!A225:B1390,2),IF(C334&gt;0,VLOOKUP(C334,КФСР!A225:B1737,2),IF(D334&gt;0,VLOOKUP(D334,КЦСР!A225:B4229,2),IF(E334&gt;0,VLOOKUP(E334,КВР!A225:B2156,2)))))</f>
        <v>Субсидии бюджетным учреждениям на иные цели</v>
      </c>
      <c r="B334" s="239"/>
      <c r="C334" s="241"/>
      <c r="D334" s="235"/>
      <c r="E334" s="236">
        <v>612</v>
      </c>
      <c r="F334" s="221">
        <v>128900</v>
      </c>
      <c r="G334" s="221">
        <v>128900</v>
      </c>
    </row>
    <row r="335" spans="1:7" s="21" customFormat="1" ht="47.25" hidden="1">
      <c r="A335" s="231" t="str">
        <f>IF(B335&gt;0,VLOOKUP(B335,КВСР!A226:B1391,2),IF(C335&gt;0,VLOOKUP(C335,КФСР!A226:B1738,2),IF(D335&gt;0,VLOOKUP(D335,КЦСР!A226:B4230,2),IF(E335&gt;0,VLOOKUP(E335,КВР!A226:B2157,2)))))</f>
        <v>Областная целевая программа "Профилактика правонарушений в Ярославской области"</v>
      </c>
      <c r="B335" s="239"/>
      <c r="C335" s="241"/>
      <c r="D335" s="235">
        <v>5223500</v>
      </c>
      <c r="E335" s="236"/>
      <c r="F335" s="221">
        <v>0</v>
      </c>
      <c r="G335" s="221">
        <f t="shared" ref="G335:G336" si="9">G336</f>
        <v>0</v>
      </c>
    </row>
    <row r="336" spans="1:7" s="21" customFormat="1" ht="47.25" hidden="1">
      <c r="A336" s="231" t="str">
        <f>IF(B336&gt;0,VLOOKUP(B336,КВСР!A227:B1392,2),IF(C336&gt;0,VLOOKUP(C336,КФСР!A227:B1739,2),IF(D336&gt;0,VLOOKUP(D336,КЦСР!A227:B4231,2),IF(E336&gt;0,VLOOKUP(E336,КВР!A227:B2158,2)))))</f>
        <v>Областная целевая программа "Профилактика правонарушений в Ярославской области"</v>
      </c>
      <c r="B336" s="239"/>
      <c r="C336" s="241"/>
      <c r="D336" s="235">
        <v>5223502</v>
      </c>
      <c r="E336" s="265"/>
      <c r="F336" s="221">
        <v>0</v>
      </c>
      <c r="G336" s="221">
        <f t="shared" si="9"/>
        <v>0</v>
      </c>
    </row>
    <row r="337" spans="1:7" s="21" customFormat="1" ht="31.5" hidden="1">
      <c r="A337" s="231" t="str">
        <f>IF(B337&gt;0,VLOOKUP(B337,КВСР!A228:B1393,2),IF(C337&gt;0,VLOOKUP(C337,КФСР!A228:B1740,2),IF(D337&gt;0,VLOOKUP(D337,КЦСР!A228:B4232,2),IF(E337&gt;0,VLOOKUP(E337,КВР!A228:B2159,2)))))</f>
        <v>Прочая закупка товаров, работ и услуг для государственных нужд</v>
      </c>
      <c r="B337" s="239"/>
      <c r="C337" s="241"/>
      <c r="D337" s="235"/>
      <c r="E337" s="236">
        <v>244</v>
      </c>
      <c r="F337" s="221">
        <v>0</v>
      </c>
      <c r="G337" s="221"/>
    </row>
    <row r="338" spans="1:7" s="21" customFormat="1">
      <c r="A338" s="231" t="str">
        <f>IF(B338&gt;0,VLOOKUP(B338,КВСР!A229:B1394,2),IF(C338&gt;0,VLOOKUP(C338,КФСР!A229:B1741,2),IF(D338&gt;0,VLOOKUP(D338,КЦСР!A229:B4233,2),IF(E338&gt;0,VLOOKUP(E338,КВР!A229:B2160,2)))))</f>
        <v>Массовый спорт</v>
      </c>
      <c r="B338" s="239"/>
      <c r="C338" s="241">
        <v>1102</v>
      </c>
      <c r="D338" s="235"/>
      <c r="E338" s="236"/>
      <c r="F338" s="221">
        <v>1760000</v>
      </c>
      <c r="G338" s="221">
        <f>G340+G342+G344</f>
        <v>1760000</v>
      </c>
    </row>
    <row r="339" spans="1:7" s="21" customFormat="1" ht="31.5">
      <c r="A339" s="231" t="str">
        <f>IF(B339&gt;0,VLOOKUP(B339,КВСР!A230:B1395,2),IF(C339&gt;0,VLOOKUP(C339,КФСР!A230:B1742,2),IF(D339&gt;0,VLOOKUP(D339,КЦСР!A230:B4234,2),IF(E339&gt;0,VLOOKUP(E339,КВР!A230:B2161,2)))))</f>
        <v>Целевые программы муниципальных образований</v>
      </c>
      <c r="B339" s="239"/>
      <c r="C339" s="245"/>
      <c r="D339" s="235">
        <v>7950000</v>
      </c>
      <c r="E339" s="236"/>
      <c r="F339" s="221">
        <v>1760000</v>
      </c>
      <c r="G339" s="221">
        <f t="shared" ref="G339:G340" si="10">G340</f>
        <v>1386000</v>
      </c>
    </row>
    <row r="340" spans="1:7" s="21" customFormat="1" ht="50.25" customHeight="1">
      <c r="A340" s="231" t="str">
        <f>IF(B340&gt;0,VLOOKUP(B340,КВСР!A231:B1396,2),IF(C340&gt;0,VLOOKUP(C340,КФСР!A231:B1743,2),IF(D340&gt;0,VLOOKUP(D340,КЦСР!A231:B4235,2),IF(E340&gt;0,VLOOKUP(E340,КВР!A231:B2162,2)))))</f>
        <v>МЦП "Развитие физической культуры и спорта в Тутаевском муниципальном районе" на 2013-2015 годы</v>
      </c>
      <c r="B340" s="239"/>
      <c r="C340" s="241"/>
      <c r="D340" s="235">
        <v>7950200</v>
      </c>
      <c r="E340" s="265"/>
      <c r="F340" s="221">
        <v>1386000</v>
      </c>
      <c r="G340" s="221">
        <f t="shared" si="10"/>
        <v>1386000</v>
      </c>
    </row>
    <row r="341" spans="1:7" s="21" customFormat="1" ht="31.5">
      <c r="A341" s="231" t="str">
        <f>IF(B341&gt;0,VLOOKUP(B341,КВСР!A232:B1397,2),IF(C341&gt;0,VLOOKUP(C341,КФСР!A232:B1744,2),IF(D341&gt;0,VLOOKUP(D341,КЦСР!A232:B4236,2),IF(E341&gt;0,VLOOKUP(E341,КВР!A232:B2163,2)))))</f>
        <v>Прочая закупка товаров, работ и услуг для государственных нужд</v>
      </c>
      <c r="B341" s="239"/>
      <c r="C341" s="241"/>
      <c r="D341" s="235"/>
      <c r="E341" s="236">
        <v>244</v>
      </c>
      <c r="F341" s="221">
        <v>1386000</v>
      </c>
      <c r="G341" s="221">
        <v>1386000</v>
      </c>
    </row>
    <row r="342" spans="1:7" s="21" customFormat="1" ht="63">
      <c r="A342" s="231" t="str">
        <f>IF(B342&gt;0,VLOOKUP(B342,КВСР!A233:B1398,2),IF(C342&gt;0,VLOOKUP(C342,КФСР!A233:B1745,2),IF(D342&gt;0,VLOOKUP(D342,КЦСР!A233:B4237,2),IF(E342&gt;0,VLOOKUP(E342,КВР!A233:B2164,2)))))</f>
        <v>МЦП "Патриотическое воспитание граждан РФ, проживающих на территории ТМР ЯО, на 2011-2013 годы"</v>
      </c>
      <c r="B342" s="239"/>
      <c r="C342" s="241"/>
      <c r="D342" s="235">
        <v>7950900</v>
      </c>
      <c r="E342" s="265"/>
      <c r="F342" s="221">
        <v>24000</v>
      </c>
      <c r="G342" s="221">
        <f t="shared" ref="G342" si="11">G343</f>
        <v>24000</v>
      </c>
    </row>
    <row r="343" spans="1:7" s="21" customFormat="1" ht="31.5">
      <c r="A343" s="231" t="str">
        <f>IF(B343&gt;0,VLOOKUP(B343,КВСР!A234:B1399,2),IF(C343&gt;0,VLOOKUP(C343,КФСР!A234:B1746,2),IF(D343&gt;0,VLOOKUP(D343,КЦСР!A234:B4238,2),IF(E343&gt;0,VLOOKUP(E343,КВР!A234:B2165,2)))))</f>
        <v>Прочая закупка товаров, работ и услуг для государственных нужд</v>
      </c>
      <c r="B343" s="239"/>
      <c r="C343" s="241"/>
      <c r="D343" s="235"/>
      <c r="E343" s="236">
        <v>244</v>
      </c>
      <c r="F343" s="221">
        <v>24000</v>
      </c>
      <c r="G343" s="221">
        <v>24000</v>
      </c>
    </row>
    <row r="344" spans="1:7" s="21" customFormat="1" ht="63">
      <c r="A344" s="231" t="str">
        <f>IF(B344&gt;0,VLOOKUP(B344,КВСР!A235:B1400,2),IF(C344&gt;0,VLOOKUP(C344,КФСР!A235:B1747,2),IF(D344&gt;0,VLOOKUP(D344,КЦСР!A235:B4239,2),IF(E344&gt;0,VLOOKUP(E344,КВР!A235:B2166,2)))))</f>
        <v>МЦП "Комплексные меры противодействия злоупотребления наркотиками и их незаконному обороту на 2012 -2014 годы"</v>
      </c>
      <c r="B344" s="239"/>
      <c r="C344" s="241"/>
      <c r="D344" s="235">
        <v>7951800</v>
      </c>
      <c r="E344" s="265"/>
      <c r="F344" s="221">
        <v>350000</v>
      </c>
      <c r="G344" s="221">
        <f t="shared" ref="G344" si="12">G345</f>
        <v>350000</v>
      </c>
    </row>
    <row r="345" spans="1:7" s="21" customFormat="1" ht="31.5">
      <c r="A345" s="231" t="str">
        <f>IF(B345&gt;0,VLOOKUP(B345,КВСР!A236:B1401,2),IF(C345&gt;0,VLOOKUP(C345,КФСР!A236:B1748,2),IF(D345&gt;0,VLOOKUP(D345,КЦСР!A236:B4240,2),IF(E345&gt;0,VLOOKUP(E345,КВР!A236:B2167,2)))))</f>
        <v>Прочая закупка товаров, работ и услуг для государственных нужд</v>
      </c>
      <c r="B345" s="239"/>
      <c r="C345" s="241"/>
      <c r="D345" s="235"/>
      <c r="E345" s="236">
        <v>244</v>
      </c>
      <c r="F345" s="221">
        <v>350000</v>
      </c>
      <c r="G345" s="221">
        <v>350000</v>
      </c>
    </row>
    <row r="346" spans="1:7" s="21" customFormat="1" ht="31.5">
      <c r="A346" s="226" t="str">
        <f>IF(B346&gt;0,VLOOKUP(B346,КВСР!A186:B1351,2),IF(#REF!&gt;0,VLOOKUP(#REF!,КФСР!A186:B1698,2),IF(D346&gt;0,VLOOKUP(D346,КЦСР!A186:B4190,2),IF(#REF!&gt;0,VLOOKUP(#REF!,КВР!A186:B2117,2)))))</f>
        <v>Департамент труда и соц. развития Администрации ТМР</v>
      </c>
      <c r="B346" s="227">
        <v>954</v>
      </c>
      <c r="C346" s="241"/>
      <c r="D346" s="229"/>
      <c r="E346" s="230"/>
      <c r="F346" s="222">
        <v>254460177</v>
      </c>
      <c r="G346" s="222">
        <f>G347+G351+G355+G417+G428+G360</f>
        <v>251075787</v>
      </c>
    </row>
    <row r="347" spans="1:7" s="21" customFormat="1">
      <c r="A347" s="231" t="str">
        <f>IF(B347&gt;0,VLOOKUP(B347,КВСР!A238:B1403,2),IF(C347&gt;0,VLOOKUP(C347,КФСР!A238:B1750,2),IF(D347&gt;0,VLOOKUP(D347,КЦСР!A238:B4242,2),IF(E347&gt;0,VLOOKUP(E347,КВР!A238:B2169,2)))))</f>
        <v>Транспорт</v>
      </c>
      <c r="B347" s="232"/>
      <c r="C347" s="228">
        <v>408</v>
      </c>
      <c r="D347" s="229"/>
      <c r="E347" s="230"/>
      <c r="F347" s="221">
        <v>17000</v>
      </c>
      <c r="G347" s="221">
        <f t="shared" ref="G347:G349" si="13">G348</f>
        <v>16000</v>
      </c>
    </row>
    <row r="348" spans="1:7" s="21" customFormat="1">
      <c r="A348" s="231" t="str">
        <f>IF(B348&gt;0,VLOOKUP(B348,КВСР!A239:B1404,2),IF(C348&gt;0,VLOOKUP(C348,КФСР!A239:B1751,2),IF(D348&gt;0,VLOOKUP(D348,КЦСР!A239:B4243,2),IF(E348&gt;0,VLOOKUP(E348,КВР!A239:B2170,2)))))</f>
        <v>Социальная помощь</v>
      </c>
      <c r="B348" s="232"/>
      <c r="C348" s="245"/>
      <c r="D348" s="229">
        <v>5050000</v>
      </c>
      <c r="E348" s="230"/>
      <c r="F348" s="221">
        <v>17000</v>
      </c>
      <c r="G348" s="221">
        <f t="shared" si="13"/>
        <v>16000</v>
      </c>
    </row>
    <row r="349" spans="1:7" s="21" customFormat="1" ht="31.5">
      <c r="A349" s="231" t="str">
        <f>IF(B349&gt;0,VLOOKUP(B349,КВСР!A240:B1405,2),IF(C349&gt;0,VLOOKUP(C349,КФСР!A240:B1752,2),IF(D349&gt;0,VLOOKUP(D349,КЦСР!A240:B4244,2),IF(E349&gt;0,VLOOKUP(E349,КВР!A240:B2171,2)))))</f>
        <v>Оказание других видов социальной помощи</v>
      </c>
      <c r="B349" s="232"/>
      <c r="C349" s="228"/>
      <c r="D349" s="229">
        <v>5058600</v>
      </c>
      <c r="E349" s="265"/>
      <c r="F349" s="221">
        <v>17000</v>
      </c>
      <c r="G349" s="221">
        <f t="shared" si="13"/>
        <v>16000</v>
      </c>
    </row>
    <row r="350" spans="1:7" s="21" customFormat="1" ht="33.75" customHeight="1">
      <c r="A350" s="231" t="str">
        <f>IF(B350&gt;0,VLOOKUP(B350,КВСР!A241:B1406,2),IF(C350&gt;0,VLOOKUP(C350,КФСР!A241:B1753,2),IF(D350&gt;0,VLOOKUP(D350,КЦСР!A241:B4245,2),IF(E350&gt;0,VLOOKUP(E350,КВР!A241:B2172,2)))))</f>
        <v>Пособия и компенсации по публичным нормативным обязательствам</v>
      </c>
      <c r="B350" s="232"/>
      <c r="C350" s="228"/>
      <c r="D350" s="229"/>
      <c r="E350" s="230">
        <v>313</v>
      </c>
      <c r="F350" s="221">
        <v>17000</v>
      </c>
      <c r="G350" s="221">
        <v>16000</v>
      </c>
    </row>
    <row r="351" spans="1:7" s="21" customFormat="1">
      <c r="A351" s="231" t="str">
        <f>IF(B351&gt;0,VLOOKUP(B351,КВСР!A242:B1407,2),IF(C351&gt;0,VLOOKUP(C351,КФСР!A242:B1754,2),IF(D351&gt;0,VLOOKUP(D351,КЦСР!A242:B4246,2),IF(E351&gt;0,VLOOKUP(E351,КВР!A242:B2173,2)))))</f>
        <v>Пенсионное обеспечение</v>
      </c>
      <c r="B351" s="233"/>
      <c r="C351" s="234">
        <v>1001</v>
      </c>
      <c r="D351" s="235"/>
      <c r="E351" s="236"/>
      <c r="F351" s="221">
        <v>2256800</v>
      </c>
      <c r="G351" s="221">
        <f t="shared" ref="G351:G353" si="14">G352</f>
        <v>2256176</v>
      </c>
    </row>
    <row r="352" spans="1:7" s="21" customFormat="1" ht="31.5">
      <c r="A352" s="231" t="str">
        <f>IF(B352&gt;0,VLOOKUP(B352,КВСР!A243:B1408,2),IF(C352&gt;0,VLOOKUP(C352,КФСР!A243:B1755,2),IF(D352&gt;0,VLOOKUP(D352,КЦСР!A243:B4247,2),IF(E352&gt;0,VLOOKUP(E352,КВР!A243:B2174,2)))))</f>
        <v>Доплаты к пенсиям, дополнительное пенсионное обеспечение</v>
      </c>
      <c r="B352" s="233"/>
      <c r="C352" s="245"/>
      <c r="D352" s="237">
        <v>4910000</v>
      </c>
      <c r="E352" s="236"/>
      <c r="F352" s="221">
        <v>2256800</v>
      </c>
      <c r="G352" s="221">
        <f t="shared" si="14"/>
        <v>2256176</v>
      </c>
    </row>
    <row r="353" spans="1:7" s="21" customFormat="1" ht="49.5" customHeight="1">
      <c r="A353" s="231" t="str">
        <f>IF(B353&gt;0,VLOOKUP(B353,КВСР!A244:B1409,2),IF(C353&gt;0,VLOOKUP(C353,КФСР!A244:B1756,2),IF(D353&gt;0,VLOOKUP(D353,КЦСР!A244:B4248,2),IF(E353&gt;0,VLOOKUP(E353,КВР!A244:B2175,2)))))</f>
        <v xml:space="preserve">Доплаты к пенсиям государственных служащих субъектов Российской Федерации и муниципальных служащих </v>
      </c>
      <c r="B353" s="233"/>
      <c r="C353" s="234"/>
      <c r="D353" s="235">
        <v>4910100</v>
      </c>
      <c r="E353" s="265"/>
      <c r="F353" s="221">
        <v>2256800</v>
      </c>
      <c r="G353" s="221">
        <f t="shared" si="14"/>
        <v>2256176</v>
      </c>
    </row>
    <row r="354" spans="1:7" s="21" customFormat="1" ht="33.75" customHeight="1">
      <c r="A354" s="231" t="str">
        <f>IF(B354&gt;0,VLOOKUP(B354,КВСР!A245:B1410,2),IF(C354&gt;0,VLOOKUP(C354,КФСР!A245:B1757,2),IF(D354&gt;0,VLOOKUP(D354,КЦСР!A245:B4249,2),IF(E354&gt;0,VLOOKUP(E354,КВР!A245:B2176,2)))))</f>
        <v>Пенсии, выплачиваемые организациями сектора государственного управления</v>
      </c>
      <c r="B354" s="233"/>
      <c r="C354" s="234"/>
      <c r="D354" s="235"/>
      <c r="E354" s="236">
        <v>312</v>
      </c>
      <c r="F354" s="221">
        <v>2256800</v>
      </c>
      <c r="G354" s="221">
        <v>2256176</v>
      </c>
    </row>
    <row r="355" spans="1:7" s="21" customFormat="1">
      <c r="A355" s="231" t="str">
        <f>IF(B355&gt;0,VLOOKUP(B355,КВСР!A246:B1411,2),IF(C355&gt;0,VLOOKUP(C355,КФСР!A246:B1758,2),IF(D355&gt;0,VLOOKUP(D355,КЦСР!A246:B4250,2),IF(E355&gt;0,VLOOKUP(E355,КВР!A246:B2177,2)))))</f>
        <v>Социальное обслуживание населения</v>
      </c>
      <c r="B355" s="233"/>
      <c r="C355" s="234">
        <v>1002</v>
      </c>
      <c r="D355" s="235"/>
      <c r="E355" s="236"/>
      <c r="F355" s="221">
        <v>36883946</v>
      </c>
      <c r="G355" s="221">
        <f t="shared" ref="G355:G356" si="15">G356</f>
        <v>36883946</v>
      </c>
    </row>
    <row r="356" spans="1:7" s="21" customFormat="1" ht="31.5">
      <c r="A356" s="231" t="str">
        <f>IF(B356&gt;0,VLOOKUP(B356,КВСР!A247:B1412,2),IF(C356&gt;0,VLOOKUP(C356,КФСР!A247:B1759,2),IF(D356&gt;0,VLOOKUP(D356,КЦСР!A247:B4251,2),IF(E356&gt;0,VLOOKUP(E356,КВР!A247:B2178,2)))))</f>
        <v>Учреждения социального обслуживание  населения</v>
      </c>
      <c r="B356" s="233"/>
      <c r="C356" s="245"/>
      <c r="D356" s="235">
        <v>5080000</v>
      </c>
      <c r="E356" s="236"/>
      <c r="F356" s="221">
        <v>36883946</v>
      </c>
      <c r="G356" s="221">
        <f t="shared" si="15"/>
        <v>36883946</v>
      </c>
    </row>
    <row r="357" spans="1:7" s="21" customFormat="1" ht="31.5">
      <c r="A357" s="231" t="str">
        <f>IF(B357&gt;0,VLOOKUP(B357,КВСР!A248:B1413,2),IF(C357&gt;0,VLOOKUP(C357,КФСР!A248:B1760,2),IF(D357&gt;0,VLOOKUP(D357,КЦСР!A248:B4252,2),IF(E357&gt;0,VLOOKUP(E357,КВР!A248:B2179,2)))))</f>
        <v>Обеспечение деятельности подведомственных учреждений</v>
      </c>
      <c r="B357" s="233"/>
      <c r="C357" s="234"/>
      <c r="D357" s="235">
        <v>5089900</v>
      </c>
      <c r="E357" s="265"/>
      <c r="F357" s="221">
        <v>36883946</v>
      </c>
      <c r="G357" s="221">
        <f>SUM(G358:G359)</f>
        <v>36883946</v>
      </c>
    </row>
    <row r="358" spans="1:7" s="21" customFormat="1" ht="78.75">
      <c r="A358" s="231" t="str">
        <f>IF(B358&gt;0,VLOOKUP(B358,КВСР!A249:B1414,2),IF(C358&gt;0,VLOOKUP(C358,КФСР!A249:B1761,2),IF(D358&gt;0,VLOOKUP(D358,КЦСР!A249:B4253,2),IF(E358&gt;0,VLOOKUP(E358,КВР!A249:B2180,2)))))</f>
        <v>Субсидии бюджетным учреждениям на финансовое обеспечение государственного задания на оказание государственных услуг (выполнение работ)</v>
      </c>
      <c r="B358" s="233"/>
      <c r="C358" s="234"/>
      <c r="D358" s="235"/>
      <c r="E358" s="236">
        <v>611</v>
      </c>
      <c r="F358" s="221">
        <v>36482746</v>
      </c>
      <c r="G358" s="221">
        <v>36482746</v>
      </c>
    </row>
    <row r="359" spans="1:7" s="21" customFormat="1" ht="31.5">
      <c r="A359" s="231" t="str">
        <f>IF(B359&gt;0,VLOOKUP(B359,КВСР!A250:B1415,2),IF(C359&gt;0,VLOOKUP(C359,КФСР!A250:B1762,2),IF(D359&gt;0,VLOOKUP(D359,КЦСР!A250:B4254,2),IF(E359&gt;0,VLOOKUP(E359,КВР!A250:B2181,2)))))</f>
        <v>Субсидии бюджетным учреждениям на иные цели</v>
      </c>
      <c r="B359" s="233"/>
      <c r="C359" s="234"/>
      <c r="D359" s="235"/>
      <c r="E359" s="236">
        <v>612</v>
      </c>
      <c r="F359" s="221">
        <v>401200</v>
      </c>
      <c r="G359" s="221">
        <v>401200</v>
      </c>
    </row>
    <row r="360" spans="1:7" s="21" customFormat="1">
      <c r="A360" s="231" t="str">
        <f>IF(B360&gt;0,VLOOKUP(B360,КВСР!A251:B1416,2),IF(C360&gt;0,VLOOKUP(C360,КФСР!A251:B1763,2),IF(D360&gt;0,VLOOKUP(D360,КЦСР!A251:B4255,2),IF(E360&gt;0,VLOOKUP(E360,КВР!A251:B2182,2)))))</f>
        <v>Социальное обеспечение населения</v>
      </c>
      <c r="B360" s="233"/>
      <c r="C360" s="234">
        <v>1003</v>
      </c>
      <c r="D360" s="235"/>
      <c r="E360" s="236"/>
      <c r="F360" s="221">
        <v>197848924</v>
      </c>
      <c r="G360" s="221">
        <f>G362+G365+G368+G371+G374+G376+G378+G381+G384+G386+G388+G390+G392+G397+G400+G405+G408+G412+G415</f>
        <v>194785625</v>
      </c>
    </row>
    <row r="361" spans="1:7" s="21" customFormat="1">
      <c r="A361" s="231" t="str">
        <f>IF(B361&gt;0,VLOOKUP(B361,КВСР!A252:B1417,2),IF(C361&gt;0,VLOOKUP(C361,КФСР!A252:B1764,2),IF(D361&gt;0,VLOOKUP(D361,КЦСР!A252:B4256,2),IF(E361&gt;0,VLOOKUP(E361,КВР!A252:B2183,2)))))</f>
        <v>Резервные фонды</v>
      </c>
      <c r="B361" s="233"/>
      <c r="C361" s="245"/>
      <c r="D361" s="235">
        <v>700000</v>
      </c>
      <c r="E361" s="236"/>
      <c r="F361" s="221">
        <v>145771</v>
      </c>
      <c r="G361" s="221">
        <f t="shared" ref="G361:G362" si="16">G362</f>
        <v>124348</v>
      </c>
    </row>
    <row r="362" spans="1:7" s="21" customFormat="1" ht="47.25">
      <c r="A362" s="231" t="str">
        <f>IF(B362&gt;0,VLOOKUP(B362,КВСР!A253:B1418,2),IF(C362&gt;0,VLOOKUP(C362,КФСР!A253:B1765,2),IF(D362&gt;0,VLOOKUP(D362,КЦСР!A253:B4257,2),IF(E362&gt;0,VLOOKUP(E362,КВР!A253:B2184,2)))))</f>
        <v>Резервный фонд исполнительных органов государственной власти субъектов Российской Федерации</v>
      </c>
      <c r="B362" s="233"/>
      <c r="C362" s="234"/>
      <c r="D362" s="235">
        <v>700400</v>
      </c>
      <c r="E362" s="265"/>
      <c r="F362" s="221">
        <v>145771</v>
      </c>
      <c r="G362" s="221">
        <f t="shared" si="16"/>
        <v>124348</v>
      </c>
    </row>
    <row r="363" spans="1:7" s="21" customFormat="1" ht="51" customHeight="1">
      <c r="A363" s="231" t="str">
        <f>IF(B363&gt;0,VLOOKUP(B363,КВСР!A254:B1419,2),IF(C363&gt;0,VLOOKUP(C363,КФСР!A254:B1766,2),IF(D363&gt;0,VLOOKUP(D363,КЦСР!A254:B4258,2),IF(E363&gt;0,VLOOKUP(E363,КВР!A254:B2185,2)))))</f>
        <v>Пособия и компенсации гражданам и иные социальные выплаты, кроме публичных нормативных обязательств</v>
      </c>
      <c r="B363" s="233"/>
      <c r="C363" s="234"/>
      <c r="D363" s="235"/>
      <c r="E363" s="236">
        <v>321</v>
      </c>
      <c r="F363" s="221">
        <v>145771</v>
      </c>
      <c r="G363" s="221">
        <v>124348</v>
      </c>
    </row>
    <row r="364" spans="1:7" s="21" customFormat="1">
      <c r="A364" s="231" t="str">
        <f>IF(B364&gt;0,VLOOKUP(B364,КВСР!A255:B1420,2),IF(C364&gt;0,VLOOKUP(C364,КФСР!A255:B1767,2),IF(D364&gt;0,VLOOKUP(D364,КЦСР!A255:B4259,2),IF(E364&gt;0,VLOOKUP(E364,КВР!A255:B2186,2)))))</f>
        <v>Социальная помощь</v>
      </c>
      <c r="B364" s="233"/>
      <c r="C364" s="234"/>
      <c r="D364" s="235">
        <v>5050000</v>
      </c>
      <c r="E364" s="236"/>
      <c r="F364" s="221">
        <v>192732806</v>
      </c>
      <c r="G364" s="221">
        <f>G367+G370+G373+G376+G378+G380+G392</f>
        <v>131033739</v>
      </c>
    </row>
    <row r="365" spans="1:7" s="21" customFormat="1" ht="105" hidden="1" customHeight="1">
      <c r="A365" s="231" t="str">
        <f>IF(B365&gt;0,VLOOKUP(B365,КВСР!A256:B1421,2),IF(C365&gt;0,VLOOKUP(C365,КФСР!A256:B1768,2),IF(D365&gt;0,VLOOKUP(D365,КЦСР!A256:B4260,2),IF(E365&gt;0,VLOOKUP(E365,КВР!A256:B2187,2)))))</f>
        <v>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v>
      </c>
      <c r="B365" s="233"/>
      <c r="C365" s="234"/>
      <c r="D365" s="235">
        <v>5051900</v>
      </c>
      <c r="E365" s="265"/>
      <c r="F365" s="221">
        <v>0</v>
      </c>
      <c r="G365" s="221">
        <f t="shared" ref="G365" si="17">G366</f>
        <v>0</v>
      </c>
    </row>
    <row r="366" spans="1:7" s="21" customFormat="1" ht="34.5" hidden="1" customHeight="1">
      <c r="A366" s="231" t="str">
        <f>IF(B366&gt;0,VLOOKUP(B366,КВСР!A257:B1422,2),IF(C366&gt;0,VLOOKUP(C366,КФСР!A257:B1769,2),IF(D366&gt;0,VLOOKUP(D366,КЦСР!A257:B4261,2),IF(E366&gt;0,VLOOKUP(E366,КВР!A257:B2188,2)))))</f>
        <v>Пособия и компенсации по публичным нормативным обязательствам</v>
      </c>
      <c r="B366" s="233"/>
      <c r="C366" s="234"/>
      <c r="D366" s="235"/>
      <c r="E366" s="236">
        <v>313</v>
      </c>
      <c r="F366" s="221">
        <v>0</v>
      </c>
      <c r="G366" s="221"/>
    </row>
    <row r="367" spans="1:7" s="21" customFormat="1" ht="47.25">
      <c r="A367" s="231" t="str">
        <f>IF(B367&gt;0,VLOOKUP(B367,КВСР!A258:B1423,2),IF(C367&gt;0,VLOOKUP(C367,КФСР!A258:B1770,2),IF(D367&gt;0,VLOOKUP(D367,КЦСР!A258:B4262,2),IF(E367&gt;0,VLOOKUP(E367,КВР!A258:B2189,2)))))</f>
        <v>Федеральный закон от 12 января 1996 года № 8-ФЗ "О погребении и похоронном деле"</v>
      </c>
      <c r="B367" s="233"/>
      <c r="C367" s="234"/>
      <c r="D367" s="235">
        <v>5052200</v>
      </c>
      <c r="E367" s="236"/>
      <c r="F367" s="221">
        <v>2211000</v>
      </c>
      <c r="G367" s="221">
        <f t="shared" ref="G367" si="18">G368</f>
        <v>2183316</v>
      </c>
    </row>
    <row r="368" spans="1:7" s="21" customFormat="1" ht="47.25">
      <c r="A368" s="231" t="str">
        <f>IF(B368&gt;0,VLOOKUP(B368,КВСР!A259:B1424,2),IF(C368&gt;0,VLOOKUP(C368,КФСР!A259:B1771,2),IF(D368&gt;0,VLOOKUP(D368,КЦСР!A259:B4263,2),IF(E368&gt;0,VLOOKUP(E368,КВР!A259:B2190,2)))))</f>
        <v>Возмещение федеральными органами исполнительной власти расходов на погребение</v>
      </c>
      <c r="B368" s="233"/>
      <c r="C368" s="234"/>
      <c r="D368" s="235">
        <v>5052205</v>
      </c>
      <c r="E368" s="265"/>
      <c r="F368" s="221">
        <v>2211000</v>
      </c>
      <c r="G368" s="221">
        <f>G369</f>
        <v>2183316</v>
      </c>
    </row>
    <row r="369" spans="1:7" s="21" customFormat="1" ht="32.25" customHeight="1">
      <c r="A369" s="231" t="str">
        <f>IF(B369&gt;0,VLOOKUP(B369,КВСР!A260:B1425,2),IF(C369&gt;0,VLOOKUP(C369,КФСР!A260:B1772,2),IF(D369&gt;0,VLOOKUP(D369,КЦСР!A260:B4264,2),IF(E369&gt;0,VLOOKUP(E369,КВР!A260:B2191,2)))))</f>
        <v>Пособия и компенсации по публичным нормативным обязательствам</v>
      </c>
      <c r="B369" s="233"/>
      <c r="C369" s="234"/>
      <c r="D369" s="235"/>
      <c r="E369" s="236">
        <v>313</v>
      </c>
      <c r="F369" s="221">
        <v>2211000</v>
      </c>
      <c r="G369" s="221">
        <v>2183316</v>
      </c>
    </row>
    <row r="370" spans="1:7" s="21" customFormat="1" ht="47.25">
      <c r="A370" s="231" t="str">
        <f>IF(B370&gt;0,VLOOKUP(B370,КВСР!A261:B1426,2),IF(C370&gt;0,VLOOKUP(C370,КФСР!A261:B1773,2),IF(D370&gt;0,VLOOKUP(D370,КЦСР!A261:B4265,2),IF(E370&gt;0,VLOOKUP(E370,КВР!A261:B2192,2)))))</f>
        <v>Закон Российской Федерации от 9 июня 1993 года № 5142-I "О донорстве крови и ее компонентов"</v>
      </c>
      <c r="B370" s="233"/>
      <c r="C370" s="234"/>
      <c r="D370" s="235">
        <v>5052900</v>
      </c>
      <c r="E370" s="236"/>
      <c r="F370" s="221">
        <v>3861219</v>
      </c>
      <c r="G370" s="221">
        <f t="shared" ref="G370:G371" si="19">G371</f>
        <v>3861077</v>
      </c>
    </row>
    <row r="371" spans="1:7" s="21" customFormat="1" ht="63">
      <c r="A371" s="231" t="str">
        <f>IF(B371&gt;0,VLOOKUP(B371,КВСР!A262:B1427,2),IF(C371&gt;0,VLOOKUP(C371,КФСР!A262:B1774,2),IF(D371&gt;0,VLOOKUP(D371,КЦСР!A262:B4266,2),IF(E371&gt;0,VLOOKUP(E371,КВР!A262:B2193,2)))))</f>
        <v>Обеспечение мер социальной поддержки для лиц, награжденных знаком "Почетный донор СССР", "Почетный донор России"</v>
      </c>
      <c r="B371" s="233"/>
      <c r="C371" s="234"/>
      <c r="D371" s="235">
        <v>5052901</v>
      </c>
      <c r="E371" s="265"/>
      <c r="F371" s="221">
        <v>3861219</v>
      </c>
      <c r="G371" s="221">
        <f t="shared" si="19"/>
        <v>3861077</v>
      </c>
    </row>
    <row r="372" spans="1:7" s="21" customFormat="1" ht="33.75" customHeight="1">
      <c r="A372" s="231" t="str">
        <f>IF(B372&gt;0,VLOOKUP(B372,КВСР!A263:B1428,2),IF(C372&gt;0,VLOOKUP(C372,КФСР!A263:B1775,2),IF(D372&gt;0,VLOOKUP(D372,КЦСР!A263:B4267,2),IF(E372&gt;0,VLOOKUP(E372,КВР!A263:B2194,2)))))</f>
        <v>Пособия и компенсации по публичным нормативным обязательствам</v>
      </c>
      <c r="B372" s="233"/>
      <c r="C372" s="234"/>
      <c r="D372" s="235"/>
      <c r="E372" s="236">
        <v>313</v>
      </c>
      <c r="F372" s="221">
        <v>3861219</v>
      </c>
      <c r="G372" s="221">
        <v>3861077</v>
      </c>
    </row>
    <row r="373" spans="1:7" s="21" customFormat="1" ht="63">
      <c r="A373" s="231" t="str">
        <f>IF(B373&gt;0,VLOOKUP(B373,КВСР!A264:B1429,2),IF(C373&gt;0,VLOOKUP(C373,КФСР!A264:B1776,2),IF(D373&gt;0,VLOOKUP(D373,КЦСР!A264:B4268,2),IF(E373&gt;0,VLOOKUP(E373,КВР!A264:B2195,2)))))</f>
        <v>Федеральный закон от 17 сентября 1998 года № 157-ФЗ "Об иммунопрофилактике инфекционных болезней"</v>
      </c>
      <c r="B373" s="233"/>
      <c r="C373" s="234"/>
      <c r="D373" s="235">
        <v>5054400</v>
      </c>
      <c r="E373" s="264"/>
      <c r="F373" s="221">
        <v>12500</v>
      </c>
      <c r="G373" s="221">
        <f t="shared" ref="G373:G374" si="20">G374</f>
        <v>12178</v>
      </c>
    </row>
    <row r="374" spans="1:7" s="21" customFormat="1" ht="78.75">
      <c r="A374" s="231" t="str">
        <f>IF(B374&gt;0,VLOOKUP(B374,КВСР!A265:B1430,2),IF(C374&gt;0,VLOOKUP(C374,КФСР!A265:B1777,2),IF(D374&gt;0,VLOOKUP(D374,КЦСР!A265:B4269,2),IF(E374&gt;0,VLOOKUP(E374,КВР!A265:B2196,2)))))</f>
        <v>Государственные единовременные пособия и ежемесячные денежные компенсации гражданам при возникновении поствакцинальных осложнений</v>
      </c>
      <c r="B374" s="233"/>
      <c r="C374" s="234"/>
      <c r="D374" s="235">
        <v>5054401</v>
      </c>
      <c r="E374" s="264"/>
      <c r="F374" s="221">
        <v>12500</v>
      </c>
      <c r="G374" s="221">
        <f t="shared" si="20"/>
        <v>12178</v>
      </c>
    </row>
    <row r="375" spans="1:7" s="21" customFormat="1" ht="47.25">
      <c r="A375" s="231" t="str">
        <f>IF(B375&gt;0,VLOOKUP(B375,КВСР!A266:B1431,2),IF(C375&gt;0,VLOOKUP(C375,КФСР!A266:B1778,2),IF(D375&gt;0,VLOOKUP(D375,КЦСР!A266:B4270,2),IF(E375&gt;0,VLOOKUP(E375,КВР!A266:B2197,2)))))</f>
        <v>Пенсии, выплачиваемые организациями сектора государственного управления</v>
      </c>
      <c r="B375" s="233"/>
      <c r="C375" s="234"/>
      <c r="D375" s="235"/>
      <c r="E375" s="264">
        <v>312</v>
      </c>
      <c r="F375" s="221">
        <v>12500</v>
      </c>
      <c r="G375" s="221">
        <v>12178</v>
      </c>
    </row>
    <row r="376" spans="1:7" s="21" customFormat="1" ht="31.5">
      <c r="A376" s="231" t="str">
        <f>IF(B376&gt;0,VLOOKUP(B376,КВСР!A264:B1429,2),IF(C376&gt;0,VLOOKUP(C376,КФСР!A264:B1776,2),IF(D376&gt;0,VLOOKUP(D376,КЦСР!A264:B4268,2),IF(E376&gt;0,VLOOKUP(E376,КВР!A264:B2195,2)))))</f>
        <v>Оплата жилищно-коммунальных услуг отдельным категориям граждан</v>
      </c>
      <c r="B376" s="233"/>
      <c r="C376" s="234"/>
      <c r="D376" s="235">
        <v>5054600</v>
      </c>
      <c r="E376" s="264"/>
      <c r="F376" s="221">
        <v>24277000</v>
      </c>
      <c r="G376" s="221">
        <f t="shared" ref="G376" si="21">G377</f>
        <v>23377200</v>
      </c>
    </row>
    <row r="377" spans="1:7" s="21" customFormat="1" ht="35.25" customHeight="1">
      <c r="A377" s="231" t="str">
        <f>IF(B377&gt;0,VLOOKUP(B377,КВСР!A265:B1430,2),IF(C377&gt;0,VLOOKUP(C377,КФСР!A265:B1777,2),IF(D377&gt;0,VLOOKUP(D377,КЦСР!A265:B4269,2),IF(E377&gt;0,VLOOKUP(E377,КВР!A265:B2196,2)))))</f>
        <v>Пособия и компенсации по публичным нормативным обязательствам</v>
      </c>
      <c r="B377" s="233"/>
      <c r="C377" s="234"/>
      <c r="D377" s="235"/>
      <c r="E377" s="236">
        <v>313</v>
      </c>
      <c r="F377" s="221">
        <v>24277000</v>
      </c>
      <c r="G377" s="221">
        <v>23377200</v>
      </c>
    </row>
    <row r="378" spans="1:7" s="21" customFormat="1" ht="47.25">
      <c r="A378" s="231" t="str">
        <f>IF(B378&gt;0,VLOOKUP(B378,КВСР!A266:B1431,2),IF(C378&gt;0,VLOOKUP(C378,КФСР!A266:B1778,2),IF(D378&gt;0,VLOOKUP(D378,КЦСР!A266:B4270,2),IF(E378&gt;0,VLOOKUP(E378,КВР!A266:B2197,2)))))</f>
        <v>Предоставление гражданам субсидий на оплату жилого помещения и коммунальных услуг</v>
      </c>
      <c r="B378" s="233"/>
      <c r="C378" s="234"/>
      <c r="D378" s="235">
        <v>5054800</v>
      </c>
      <c r="E378" s="265"/>
      <c r="F378" s="221">
        <v>23986000</v>
      </c>
      <c r="G378" s="221">
        <f t="shared" ref="G378" si="22">G379</f>
        <v>22075357</v>
      </c>
    </row>
    <row r="379" spans="1:7" s="21" customFormat="1" ht="47.25">
      <c r="A379" s="231" t="str">
        <f>IF(B379&gt;0,VLOOKUP(B379,КВСР!A267:B1432,2),IF(C379&gt;0,VLOOKUP(C379,КФСР!A267:B1779,2),IF(D379&gt;0,VLOOKUP(D379,КЦСР!A267:B4271,2),IF(E379&gt;0,VLOOKUP(E379,КВР!A267:B2198,2)))))</f>
        <v>Меры социальной поддержки населения по публичным нормативным обязательствам</v>
      </c>
      <c r="B379" s="233"/>
      <c r="C379" s="234"/>
      <c r="D379" s="235"/>
      <c r="E379" s="236">
        <v>314</v>
      </c>
      <c r="F379" s="221">
        <v>23986000</v>
      </c>
      <c r="G379" s="221">
        <v>22075357</v>
      </c>
    </row>
    <row r="380" spans="1:7" s="21" customFormat="1" ht="34.5" customHeight="1">
      <c r="A380" s="231" t="str">
        <f>IF(B380&gt;0,VLOOKUP(B380,КВСР!A268:B1433,2),IF(C380&gt;0,VLOOKUP(C380,КФСР!A268:B1780,2),IF(D380&gt;0,VLOOKUP(D380,КЦСР!A268:B4272,2),IF(E380&gt;0,VLOOKUP(E380,КВР!A268:B2199,2)))))</f>
        <v>Реализация мер социальной поддержки отдельных категорий граждан</v>
      </c>
      <c r="B380" s="233"/>
      <c r="C380" s="234"/>
      <c r="D380" s="235">
        <v>5055500</v>
      </c>
      <c r="E380" s="236"/>
      <c r="F380" s="221">
        <v>88581239</v>
      </c>
      <c r="G380" s="221">
        <f t="shared" ref="G380:G381" si="23">G381</f>
        <v>29710000</v>
      </c>
    </row>
    <row r="381" spans="1:7" s="21" customFormat="1">
      <c r="A381" s="231" t="str">
        <f>IF(B381&gt;0,VLOOKUP(B381,КВСР!A269:B1434,2),IF(C381&gt;0,VLOOKUP(C381,КФСР!A269:B1781,2),IF(D381&gt;0,VLOOKUP(D381,КЦСР!A269:B4273,2),IF(E381&gt;0,VLOOKUP(E381,КВР!A269:B2200,2)))))</f>
        <v>Ежемесячное пособие на ребенка</v>
      </c>
      <c r="B381" s="233"/>
      <c r="C381" s="234"/>
      <c r="D381" s="235">
        <v>5055510</v>
      </c>
      <c r="E381" s="265"/>
      <c r="F381" s="221">
        <v>29710000</v>
      </c>
      <c r="G381" s="221">
        <f t="shared" si="23"/>
        <v>29710000</v>
      </c>
    </row>
    <row r="382" spans="1:7" s="21" customFormat="1" ht="35.25" customHeight="1">
      <c r="A382" s="231" t="str">
        <f>IF(B382&gt;0,VLOOKUP(B382,КВСР!A270:B1435,2),IF(C382&gt;0,VLOOKUP(C382,КФСР!A270:B1782,2),IF(D382&gt;0,VLOOKUP(D382,КЦСР!A270:B4274,2),IF(E382&gt;0,VLOOKUP(E382,КВР!A270:B2201,2)))))</f>
        <v>Пособия и компенсации по публичным нормативным обязательствам</v>
      </c>
      <c r="B382" s="233"/>
      <c r="C382" s="234"/>
      <c r="D382" s="235"/>
      <c r="E382" s="236">
        <v>313</v>
      </c>
      <c r="F382" s="221">
        <v>29710000</v>
      </c>
      <c r="G382" s="221">
        <v>29710000</v>
      </c>
    </row>
    <row r="383" spans="1:7" s="21" customFormat="1" ht="47.25">
      <c r="A383" s="231" t="str">
        <f>IF(B383&gt;0,VLOOKUP(B383,КВСР!A271:B1436,2),IF(C383&gt;0,VLOOKUP(C383,КФСР!A271:B1783,2),IF(D383&gt;0,VLOOKUP(D383,КЦСР!A271:B4275,2),IF(E383&gt;0,VLOOKUP(E383,КВР!A271:B2202,2)))))</f>
        <v>Обеспечение мер социальной поддержки ветеранов труда и тружеников тыла</v>
      </c>
      <c r="B383" s="233"/>
      <c r="C383" s="234"/>
      <c r="D383" s="235">
        <v>5055520</v>
      </c>
      <c r="E383" s="236"/>
      <c r="F383" s="221">
        <v>57672024</v>
      </c>
      <c r="G383" s="221">
        <f t="shared" ref="G383:G384" si="24">G384</f>
        <v>53682951</v>
      </c>
    </row>
    <row r="384" spans="1:7" s="21" customFormat="1" ht="31.5">
      <c r="A384" s="231" t="str">
        <f>IF(B384&gt;0,VLOOKUP(B384,КВСР!A272:B1437,2),IF(C384&gt;0,VLOOKUP(C384,КФСР!A272:B1784,2),IF(D384&gt;0,VLOOKUP(D384,КЦСР!A272:B4276,2),IF(E384&gt;0,VLOOKUP(E384,КВР!A272:B2203,2)))))</f>
        <v>Обеспечение мер социальной поддержки ветеранов труда</v>
      </c>
      <c r="B384" s="233"/>
      <c r="C384" s="234"/>
      <c r="D384" s="235">
        <v>5055521</v>
      </c>
      <c r="E384" s="265"/>
      <c r="F384" s="221">
        <v>53826024</v>
      </c>
      <c r="G384" s="221">
        <f t="shared" si="24"/>
        <v>53682951</v>
      </c>
    </row>
    <row r="385" spans="1:7" s="21" customFormat="1" ht="34.5" customHeight="1">
      <c r="A385" s="231" t="str">
        <f>IF(B385&gt;0,VLOOKUP(B385,КВСР!A273:B1438,2),IF(C385&gt;0,VLOOKUP(C385,КФСР!A273:B1785,2),IF(D385&gt;0,VLOOKUP(D385,КЦСР!A273:B4277,2),IF(E385&gt;0,VLOOKUP(E385,КВР!A273:B2204,2)))))</f>
        <v>Пособия и компенсации по публичным нормативным обязательствам</v>
      </c>
      <c r="B385" s="233"/>
      <c r="C385" s="234"/>
      <c r="D385" s="235"/>
      <c r="E385" s="236">
        <v>313</v>
      </c>
      <c r="F385" s="221">
        <v>53826024</v>
      </c>
      <c r="G385" s="221">
        <v>53682951</v>
      </c>
    </row>
    <row r="386" spans="1:7" s="21" customFormat="1" ht="31.5">
      <c r="A386" s="231" t="str">
        <f>IF(B386&gt;0,VLOOKUP(B386,КВСР!A274:B1439,2),IF(C386&gt;0,VLOOKUP(C386,КФСР!A274:B1786,2),IF(D386&gt;0,VLOOKUP(D386,КЦСР!A274:B4278,2),IF(E386&gt;0,VLOOKUP(E386,КВР!A274:B2205,2)))))</f>
        <v>Обеспечение мер социальной поддержки тружеников тыла</v>
      </c>
      <c r="B386" s="233"/>
      <c r="C386" s="234"/>
      <c r="D386" s="235">
        <v>5055522</v>
      </c>
      <c r="E386" s="265"/>
      <c r="F386" s="221">
        <v>3846000</v>
      </c>
      <c r="G386" s="221">
        <f t="shared" ref="G386" si="25">G387</f>
        <v>3787873</v>
      </c>
    </row>
    <row r="387" spans="1:7" s="21" customFormat="1" ht="38.25" customHeight="1">
      <c r="A387" s="231" t="str">
        <f>IF(B387&gt;0,VLOOKUP(B387,КВСР!A275:B1440,2),IF(C387&gt;0,VLOOKUP(C387,КФСР!A275:B1787,2),IF(D387&gt;0,VLOOKUP(D387,КЦСР!A275:B4279,2),IF(E387&gt;0,VLOOKUP(E387,КВР!A275:B2206,2)))))</f>
        <v>Пособия и компенсации по публичным нормативным обязательствам</v>
      </c>
      <c r="B387" s="233"/>
      <c r="C387" s="234"/>
      <c r="D387" s="235"/>
      <c r="E387" s="236">
        <v>313</v>
      </c>
      <c r="F387" s="221">
        <v>3846000</v>
      </c>
      <c r="G387" s="221">
        <v>3787873</v>
      </c>
    </row>
    <row r="388" spans="1:7" s="21" customFormat="1" ht="63" hidden="1">
      <c r="A388" s="231" t="str">
        <f>IF(B388&gt;0,VLOOKUP(B388,КВСР!A276:B1441,2),IF(C388&gt;0,VLOOKUP(C388,КФСР!A276:B1788,2),IF(D388&gt;0,VLOOKUP(D388,КЦСР!A276:B4280,2),IF(E388&gt;0,VLOOKUP(E388,КВР!A276:B2207,2)))))</f>
        <v>Обеспечение мер социальной поддержки реабилитированных лиц и лиц, признанных пострадавшими от политических репрессий</v>
      </c>
      <c r="B388" s="233"/>
      <c r="C388" s="234"/>
      <c r="D388" s="235">
        <v>5055530</v>
      </c>
      <c r="E388" s="265"/>
      <c r="F388" s="221">
        <v>0</v>
      </c>
      <c r="G388" s="221">
        <f t="shared" ref="G388" si="26">G389</f>
        <v>0</v>
      </c>
    </row>
    <row r="389" spans="1:7" s="21" customFormat="1" hidden="1">
      <c r="A389" s="231" t="e">
        <f>IF(B389&gt;0,VLOOKUP(B389,КВСР!A277:B1442,2),IF(C389&gt;0,VLOOKUP(C389,КФСР!A277:B1789,2),IF(D389&gt;0,VLOOKUP(D389,КЦСР!A277:B4281,2),IF(E389&gt;0,VLOOKUP(E389,КВР!A277:B2208,2)))))</f>
        <v>#N/A</v>
      </c>
      <c r="B389" s="233"/>
      <c r="C389" s="234"/>
      <c r="D389" s="235"/>
      <c r="E389" s="236">
        <v>5</v>
      </c>
      <c r="F389" s="221">
        <v>0</v>
      </c>
      <c r="G389" s="221"/>
    </row>
    <row r="390" spans="1:7" s="21" customFormat="1" ht="63">
      <c r="A390" s="231" t="str">
        <f>IF(B390&gt;0,VLOOKUP(B390,КВСР!A278:B1443,2),IF(C390&gt;0,VLOOKUP(C390,КФСР!A278:B1790,2),IF(D390&gt;0,VLOOKUP(D390,КЦСР!A278:B4282,2),IF(E390&gt;0,VLOOKUP(E390,КВР!A278:B2209,2)))))</f>
        <v>Обеспечение мер социальной поддержки реабилитированных лиц и лиц, признанных пострадавшими от политических репрессий</v>
      </c>
      <c r="B390" s="233"/>
      <c r="C390" s="234"/>
      <c r="D390" s="235">
        <v>5055531</v>
      </c>
      <c r="E390" s="265"/>
      <c r="F390" s="221">
        <v>1199215</v>
      </c>
      <c r="G390" s="221">
        <f t="shared" ref="G390" si="27">G391</f>
        <v>1187440</v>
      </c>
    </row>
    <row r="391" spans="1:7" s="21" customFormat="1" ht="32.25" customHeight="1">
      <c r="A391" s="231" t="str">
        <f>IF(B391&gt;0,VLOOKUP(B391,КВСР!A279:B1444,2),IF(C391&gt;0,VLOOKUP(C391,КФСР!A279:B1791,2),IF(D391&gt;0,VLOOKUP(D391,КЦСР!A279:B4283,2),IF(E391&gt;0,VLOOKUP(E391,КВР!A279:B2210,2)))))</f>
        <v>Пособия и компенсации по публичным нормативным обязательствам</v>
      </c>
      <c r="B391" s="233"/>
      <c r="C391" s="234"/>
      <c r="D391" s="235"/>
      <c r="E391" s="236">
        <v>313</v>
      </c>
      <c r="F391" s="221">
        <v>1199215</v>
      </c>
      <c r="G391" s="221">
        <v>1187440</v>
      </c>
    </row>
    <row r="392" spans="1:7" s="21" customFormat="1" ht="30.75" customHeight="1">
      <c r="A392" s="231" t="str">
        <f>IF(B392&gt;0,VLOOKUP(B392,КВСР!A280:B1445,2),IF(C392&gt;0,VLOOKUP(C392,КФСР!A280:B1792,2),IF(D392&gt;0,VLOOKUP(D392,КЦСР!A280:B4284,2),IF(E392&gt;0,VLOOKUP(E392,КВР!A280:B2211,2)))))</f>
        <v>Оказание других видов социальной помощи</v>
      </c>
      <c r="B392" s="233"/>
      <c r="C392" s="234"/>
      <c r="D392" s="235">
        <v>5058600</v>
      </c>
      <c r="E392" s="265"/>
      <c r="F392" s="221">
        <v>49803848</v>
      </c>
      <c r="G392" s="221">
        <f>SUM(G393:G394)</f>
        <v>49814611</v>
      </c>
    </row>
    <row r="393" spans="1:7" s="21" customFormat="1" ht="32.25" customHeight="1">
      <c r="A393" s="231" t="str">
        <f>IF(B393&gt;0,VLOOKUP(B393,КВСР!A281:B1446,2),IF(C393&gt;0,VLOOKUP(C393,КФСР!A281:B1793,2),IF(D393&gt;0,VLOOKUP(D393,КЦСР!A281:B4285,2),IF(E393&gt;0,VLOOKUP(E393,КВР!A281:B2212,2)))))</f>
        <v>Пособия и компенсации по публичным нормативным обязательствам</v>
      </c>
      <c r="B393" s="233"/>
      <c r="C393" s="234"/>
      <c r="D393" s="235"/>
      <c r="E393" s="236">
        <v>313</v>
      </c>
      <c r="F393" s="221">
        <v>46119761</v>
      </c>
      <c r="G393" s="221">
        <v>46130536</v>
      </c>
    </row>
    <row r="394" spans="1:7" s="21" customFormat="1" ht="47.25">
      <c r="A394" s="231" t="str">
        <f>IF(B394&gt;0,VLOOKUP(B394,КВСР!A282:B1447,2),IF(C394&gt;0,VLOOKUP(C394,КФСР!A282:B1794,2),IF(D394&gt;0,VLOOKUP(D394,КЦСР!A282:B4286,2),IF(E394&gt;0,VLOOKUP(E394,КВР!A282:B2213,2)))))</f>
        <v>Меры социальной поддержки населения по публичным нормативным обязательствам</v>
      </c>
      <c r="B394" s="233"/>
      <c r="C394" s="234"/>
      <c r="D394" s="235"/>
      <c r="E394" s="236">
        <v>314</v>
      </c>
      <c r="F394" s="221">
        <v>3684087</v>
      </c>
      <c r="G394" s="221">
        <v>3684075</v>
      </c>
    </row>
    <row r="395" spans="1:7" s="21" customFormat="1" ht="33.75" customHeight="1">
      <c r="A395" s="231" t="str">
        <f>IF(B395&gt;0,VLOOKUP(B395,КВСР!A283:B1448,2),IF(C395&gt;0,VLOOKUP(C395,КФСР!A283:B1795,2),IF(D395&gt;0,VLOOKUP(D395,КЦСР!A283:B4287,2),IF(E395&gt;0,VLOOKUP(E395,КВР!A283:B2214,2)))))</f>
        <v>Реализация государственных функций в области социальной политики</v>
      </c>
      <c r="B395" s="233"/>
      <c r="C395" s="234"/>
      <c r="D395" s="235">
        <v>5140000</v>
      </c>
      <c r="E395" s="236"/>
      <c r="F395" s="221">
        <v>440885</v>
      </c>
      <c r="G395" s="221">
        <f t="shared" ref="G395:G396" si="28">G396</f>
        <v>440811</v>
      </c>
    </row>
    <row r="396" spans="1:7" s="21" customFormat="1" ht="31.5">
      <c r="A396" s="231" t="str">
        <f>IF(B396&gt;0,VLOOKUP(B396,КВСР!A284:B1449,2),IF(C396&gt;0,VLOOKUP(C396,КФСР!A284:B1796,2),IF(D396&gt;0,VLOOKUP(D396,КЦСР!A284:B4288,2),IF(E396&gt;0,VLOOKUP(E396,КВР!A284:B2215,2)))))</f>
        <v>Мероприятия в области социальной политики</v>
      </c>
      <c r="B396" s="233"/>
      <c r="C396" s="234"/>
      <c r="D396" s="235">
        <v>5140100</v>
      </c>
      <c r="E396" s="236"/>
      <c r="F396" s="221">
        <v>440885</v>
      </c>
      <c r="G396" s="221">
        <f t="shared" si="28"/>
        <v>440811</v>
      </c>
    </row>
    <row r="397" spans="1:7" s="21" customFormat="1" ht="33.75" customHeight="1">
      <c r="A397" s="231" t="str">
        <f>IF(B397&gt;0,VLOOKUP(B397,КВСР!A285:B1450,2),IF(C397&gt;0,VLOOKUP(C397,КФСР!A285:B1797,2),IF(D397&gt;0,VLOOKUP(D397,КЦСР!A285:B4289,2),IF(E397&gt;0,VLOOKUP(E397,КВР!A285:B2216,2)))))</f>
        <v>ВЦП "Развитие системы мер социальной поддержки населения ЯО"</v>
      </c>
      <c r="B397" s="233"/>
      <c r="C397" s="234"/>
      <c r="D397" s="235">
        <v>5140102</v>
      </c>
      <c r="E397" s="265"/>
      <c r="F397" s="221">
        <v>440885</v>
      </c>
      <c r="G397" s="221">
        <f>SUM(G398:G399)</f>
        <v>440811</v>
      </c>
    </row>
    <row r="398" spans="1:7" s="21" customFormat="1" ht="47.25">
      <c r="A398" s="231" t="str">
        <f>IF(B398&gt;0,VLOOKUP(B398,КВСР!A286:B1451,2),IF(C398&gt;0,VLOOKUP(C398,КФСР!A286:B1798,2),IF(D398&gt;0,VLOOKUP(D398,КЦСР!A286:B4290,2),IF(E398&gt;0,VLOOKUP(E398,КВР!A286:B2217,2)))))</f>
        <v>Закупка товаров, работ, услуг в сфере информационно-коммуникационных технологий</v>
      </c>
      <c r="B398" s="233"/>
      <c r="C398" s="234"/>
      <c r="D398" s="235"/>
      <c r="E398" s="236">
        <v>242</v>
      </c>
      <c r="F398" s="221">
        <v>225000</v>
      </c>
      <c r="G398" s="221">
        <v>225000</v>
      </c>
    </row>
    <row r="399" spans="1:7" s="21" customFormat="1" ht="30.75" customHeight="1">
      <c r="A399" s="231" t="str">
        <f>IF(B399&gt;0,VLOOKUP(B399,КВСР!A287:B1452,2),IF(C399&gt;0,VLOOKUP(C399,КФСР!A287:B1799,2),IF(D399&gt;0,VLOOKUP(D399,КЦСР!A287:B4291,2),IF(E399&gt;0,VLOOKUP(E399,КВР!A287:B2218,2)))))</f>
        <v>Прочая закупка товаров, работ и услуг для государственных нужд</v>
      </c>
      <c r="B399" s="233"/>
      <c r="C399" s="234"/>
      <c r="D399" s="235"/>
      <c r="E399" s="236">
        <v>244</v>
      </c>
      <c r="F399" s="221">
        <v>215885</v>
      </c>
      <c r="G399" s="221">
        <v>215811</v>
      </c>
    </row>
    <row r="400" spans="1:7" s="22" customFormat="1" ht="189" hidden="1">
      <c r="A400" s="231" t="str">
        <f>IF(B400&gt;0,VLOOKUP(B400,КВСР!A288:B1453,2),IF(C400&gt;0,VLOOKUP(C400,КФСР!A288:B1800,2),IF(D400&gt;0,VLOOKUP(D400,КЦСР!A288:B4292,2),IF(E400&gt;0,VLOOKUP(E400,КВР!A288:B2219,2)))))</f>
        <v>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пенсионерамсоциального обслуживания населения и оказанием адресной социальной помощи неработающим пенсионерам</v>
      </c>
      <c r="B400" s="233"/>
      <c r="C400" s="234"/>
      <c r="D400" s="235">
        <v>5144100</v>
      </c>
      <c r="E400" s="236"/>
      <c r="F400" s="221">
        <v>0</v>
      </c>
      <c r="G400" s="221">
        <f t="shared" ref="G400" si="29">G401</f>
        <v>0</v>
      </c>
    </row>
    <row r="401" spans="1:7" s="22" customFormat="1" ht="78.75" hidden="1">
      <c r="A401" s="231" t="str">
        <f>IF(B401&gt;0,VLOOKUP(B401,КВСР!A289:B1454,2),IF(C401&gt;0,VLOOKUP(C401,КФСР!A289:B1801,2),IF(D401&gt;0,VLOOKUP(D401,КЦСР!A289:B4293,2),IF(E402&gt;0,VLOOKUP(E402,КВР!A289:B2220,2)))))</f>
        <v>Софинансирование  региональной программы "Социальная поддержка пожилых граждан Ярославской области" за счет средств Пенсионного Фонда Российской Федерации</v>
      </c>
      <c r="B401" s="233"/>
      <c r="C401" s="234"/>
      <c r="D401" s="235">
        <v>5144102</v>
      </c>
      <c r="E401" s="330"/>
      <c r="F401" s="221">
        <v>0</v>
      </c>
      <c r="G401" s="221"/>
    </row>
    <row r="402" spans="1:7" s="22" customFormat="1" ht="31.5">
      <c r="A402" s="231" t="str">
        <f>IF(B402&gt;0,VLOOKUP(B402,КВСР!A290:B1455,2),IF(C402&gt;0,VLOOKUP(C402,КФСР!A290:B1802,2),IF(D402&gt;0,VLOOKUP(D402,КЦСР!A290:B4294,2),IF(E402&gt;0,VLOOKUP(E402,КВР!A290:B2221,2)))))</f>
        <v>Субсидии бюджетным учреждениям на иные цели</v>
      </c>
      <c r="B402" s="233"/>
      <c r="C402" s="234"/>
      <c r="D402" s="235"/>
      <c r="E402" s="236">
        <v>612</v>
      </c>
      <c r="F402" s="221">
        <v>0</v>
      </c>
      <c r="G402" s="221">
        <f t="shared" ref="G402:G405" si="30">G403</f>
        <v>1115000</v>
      </c>
    </row>
    <row r="403" spans="1:7" s="22" customFormat="1">
      <c r="A403" s="231" t="str">
        <f>IF(B403&gt;0,VLOOKUP(B403,КВСР!A291:B1456,2),IF(C403&gt;0,VLOOKUP(C403,КФСР!A291:B1803,2),IF(D403&gt;0,VLOOKUP(D403,КЦСР!A291:B4295,2),IF(E403&gt;0,VLOOKUP(E403,КВР!A291:B2222,2)))))</f>
        <v>Региональные целевые программы</v>
      </c>
      <c r="B403" s="233"/>
      <c r="C403" s="234"/>
      <c r="D403" s="235">
        <v>5220000</v>
      </c>
      <c r="E403" s="236"/>
      <c r="F403" s="221">
        <v>4443700</v>
      </c>
      <c r="G403" s="221">
        <f t="shared" si="30"/>
        <v>1115000</v>
      </c>
    </row>
    <row r="404" spans="1:7" s="22" customFormat="1" ht="31.5">
      <c r="A404" s="231" t="str">
        <f>IF(B404&gt;0,VLOOKUP(B404,КВСР!A292:B1457,2),IF(C404&gt;0,VLOOKUP(C404,КФСР!A292:B1804,2),IF(D404&gt;0,VLOOKUP(D404,КЦСР!A292:B4296,2),IF(E404&gt;0,VLOOKUP(E404,КВР!A292:B2223,2)))))</f>
        <v>Областная комплексная целевая программа "Семья и дети Ярославии"</v>
      </c>
      <c r="B404" s="233"/>
      <c r="C404" s="234"/>
      <c r="D404" s="235">
        <v>5221300</v>
      </c>
      <c r="E404" s="236"/>
      <c r="F404" s="221">
        <v>1115200</v>
      </c>
      <c r="G404" s="221">
        <f t="shared" si="30"/>
        <v>1115000</v>
      </c>
    </row>
    <row r="405" spans="1:7" s="22" customFormat="1" ht="78.75">
      <c r="A405" s="231" t="str">
        <f>IF(B405&gt;0,VLOOKUP(B405,КВСР!A293:B1458,2),IF(C405&gt;0,VLOOKUP(C405,КФСР!A293:B1805,2),IF(D405&gt;0,VLOOKUP(D405,КЦСР!A293:B4297,2),IF(E405&gt;0,VLOOKUP(E405,КВР!A293:B2224,2)))))</f>
        <v>Подпрограмма "Ярославские каникулы" в части компенсации стоимости санаторно-курортной путевки лицам, нуждающимся в санаторно-курортном лечении</v>
      </c>
      <c r="B405" s="233"/>
      <c r="C405" s="234"/>
      <c r="D405" s="235">
        <v>5221314</v>
      </c>
      <c r="E405" s="330"/>
      <c r="F405" s="221">
        <v>1115200</v>
      </c>
      <c r="G405" s="221">
        <f t="shared" si="30"/>
        <v>1115000</v>
      </c>
    </row>
    <row r="406" spans="1:7" s="22" customFormat="1" ht="31.5">
      <c r="A406" s="231" t="str">
        <f>IF(B406&gt;0,VLOOKUP(B406,КВСР!A294:B1459,2),IF(C406&gt;0,VLOOKUP(C406,КФСР!A294:B1806,2),IF(D406&gt;0,VLOOKUP(D406,КЦСР!A294:B4298,2),IF(E406&gt;0,VLOOKUP(E406,КВР!A294:B2225,2)))))</f>
        <v>Приобретение товаров, работ, услуг в пользу граждан</v>
      </c>
      <c r="B406" s="233"/>
      <c r="C406" s="234"/>
      <c r="D406" s="235"/>
      <c r="E406" s="236">
        <v>323</v>
      </c>
      <c r="F406" s="221">
        <v>1115200</v>
      </c>
      <c r="G406" s="221">
        <v>1115000</v>
      </c>
    </row>
    <row r="407" spans="1:7" s="22" customFormat="1" ht="47.25">
      <c r="A407" s="231" t="str">
        <f>IF(B407&gt;0,VLOOKUP(B407,КВСР!A295:B1460,2),IF(C407&gt;0,VLOOKUP(C407,КФСР!A295:B1807,2),IF(D407&gt;0,VLOOKUP(D407,КЦСР!A295:B4299,2),IF(E407&gt;0,VLOOKUP(E407,КВР!A295:B2226,2)))))</f>
        <v>Региональная программа "Социальная поддержка пожилых граждан в Ярославской области"</v>
      </c>
      <c r="B407" s="233"/>
      <c r="C407" s="234"/>
      <c r="D407" s="235">
        <v>5226900</v>
      </c>
      <c r="E407" s="236"/>
      <c r="F407" s="221">
        <v>2864000</v>
      </c>
      <c r="G407" s="221">
        <f t="shared" ref="G407" si="31">G408</f>
        <v>2863691</v>
      </c>
    </row>
    <row r="408" spans="1:7" s="22" customFormat="1" ht="82.5" customHeight="1">
      <c r="A408" s="231" t="str">
        <f>IF(B408&gt;0,VLOOKUP(B408,КВСР!A296:B1461,2),IF(C408&gt;0,VLOOKUP(C408,КФСР!A296:B1808,2),IF(D408&gt;0,VLOOKUP(D408,КЦСР!A296:B4300,2),IF(E408&gt;0,VLOOKUP(E408,КВР!A296:B2227,2)))))</f>
        <v>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v>
      </c>
      <c r="B408" s="233"/>
      <c r="C408" s="234"/>
      <c r="D408" s="235">
        <v>5226902</v>
      </c>
      <c r="E408" s="330"/>
      <c r="F408" s="221">
        <v>2864000</v>
      </c>
      <c r="G408" s="221">
        <f>SUM(G409:G410)</f>
        <v>2863691</v>
      </c>
    </row>
    <row r="409" spans="1:7" s="22" customFormat="1" ht="47.25">
      <c r="A409" s="231" t="str">
        <f>IF(B409&gt;0,VLOOKUP(B409,КВСР!A297:B1462,2),IF(C409&gt;0,VLOOKUP(C409,КФСР!A297:B1809,2),IF(D409&gt;0,VLOOKUP(D409,КЦСР!A297:B4301,2),IF(E409&gt;0,VLOOKUP(E409,КВР!A297:B2228,2)))))</f>
        <v>Меры социальной поддержки населения по публичным нормативным обязательствам</v>
      </c>
      <c r="B409" s="233"/>
      <c r="C409" s="234"/>
      <c r="D409" s="235"/>
      <c r="E409" s="236">
        <v>314</v>
      </c>
      <c r="F409" s="221">
        <v>1210000</v>
      </c>
      <c r="G409" s="221">
        <v>1209691</v>
      </c>
    </row>
    <row r="410" spans="1:7" s="22" customFormat="1" ht="31.5">
      <c r="A410" s="231" t="str">
        <f>IF(B410&gt;0,VLOOKUP(B410,КВСР!A298:B1463,2),IF(C410&gt;0,VLOOKUP(C410,КФСР!A298:B1810,2),IF(D410&gt;0,VLOOKUP(D410,КЦСР!A298:B4302,2),IF(E410&gt;0,VLOOKUP(E410,КВР!A298:B2229,2)))))</f>
        <v>Субсидии бюджетным учреждениям на иные цели</v>
      </c>
      <c r="B410" s="233"/>
      <c r="C410" s="234"/>
      <c r="D410" s="235"/>
      <c r="E410" s="236">
        <v>612</v>
      </c>
      <c r="F410" s="221">
        <v>1654000</v>
      </c>
      <c r="G410" s="221">
        <v>1654000</v>
      </c>
    </row>
    <row r="411" spans="1:7" s="22" customFormat="1" ht="31.5">
      <c r="A411" s="231" t="str">
        <f>IF(B411&gt;0,VLOOKUP(B411,КВСР!A299:B1464,2),IF(C411&gt;0,VLOOKUP(C411,КФСР!A299:B1811,2),IF(D411&gt;0,VLOOKUP(D411,КЦСР!A299:B4303,2),IF(E411&gt;0,VLOOKUP(E411,КВР!A299:B2230,2)))))</f>
        <v>Областная целевая программа "Доступная среда"</v>
      </c>
      <c r="B411" s="233"/>
      <c r="C411" s="234"/>
      <c r="D411" s="235">
        <v>5227200</v>
      </c>
      <c r="E411" s="236"/>
      <c r="F411" s="221">
        <v>464500</v>
      </c>
      <c r="G411" s="221">
        <f t="shared" ref="G411:G412" si="32">G412</f>
        <v>464500</v>
      </c>
    </row>
    <row r="412" spans="1:7" s="22" customFormat="1" ht="78.75">
      <c r="A412" s="231" t="str">
        <f>IF(B412&gt;0,VLOOKUP(B412,КВСР!A300:B1465,2),IF(C412&gt;0,VLOOKUP(C412,КФСР!A300:B1812,2),IF(D412&gt;0,VLOOKUP(D412,КЦСР!A300:B4304,2),IF(E412&gt;0,VLOOKUP(E412,КВР!A300:B2231,2)))))</f>
        <v>Адаптация учреждений социального обслуживания населения для обеспечения доступности для инвалидов и других маломобильных групп населения</v>
      </c>
      <c r="B412" s="233"/>
      <c r="C412" s="234"/>
      <c r="D412" s="235">
        <v>5227209</v>
      </c>
      <c r="E412" s="330"/>
      <c r="F412" s="221">
        <v>464500</v>
      </c>
      <c r="G412" s="221">
        <f t="shared" si="32"/>
        <v>464500</v>
      </c>
    </row>
    <row r="413" spans="1:7" s="22" customFormat="1" ht="31.5">
      <c r="A413" s="231" t="str">
        <f>IF(B413&gt;0,VLOOKUP(B413,КВСР!A301:B1466,2),IF(C413&gt;0,VLOOKUP(C413,КФСР!A301:B1813,2),IF(D413&gt;0,VLOOKUP(D413,КЦСР!A301:B4305,2),IF(E413&gt;0,VLOOKUP(E413,КВР!A301:B2232,2)))))</f>
        <v>Субсидии бюджетным учреждениям на иные цели</v>
      </c>
      <c r="B413" s="233"/>
      <c r="C413" s="234"/>
      <c r="D413" s="235"/>
      <c r="E413" s="236">
        <v>612</v>
      </c>
      <c r="F413" s="221">
        <v>464500</v>
      </c>
      <c r="G413" s="221">
        <v>464500</v>
      </c>
    </row>
    <row r="414" spans="1:7" s="22" customFormat="1" ht="31.5">
      <c r="A414" s="231" t="str">
        <f>IF(B414&gt;0,VLOOKUP(B414,КВСР!A302:B1467,2),IF(C414&gt;0,VLOOKUP(C414,КФСР!A302:B1814,2),IF(D414&gt;0,VLOOKUP(D414,КЦСР!A302:B4306,2),IF(E414&gt;0,VLOOKUP(E414,КВР!A302:B2233,2)))))</f>
        <v>Целевые программы муниципальных образований</v>
      </c>
      <c r="B414" s="233"/>
      <c r="C414" s="234"/>
      <c r="D414" s="235">
        <v>7950000</v>
      </c>
      <c r="E414" s="236"/>
      <c r="F414" s="221">
        <v>85762</v>
      </c>
      <c r="G414" s="221">
        <f t="shared" ref="G414:G415" si="33">G415</f>
        <v>85272</v>
      </c>
    </row>
    <row r="415" spans="1:7" s="22" customFormat="1" ht="47.25">
      <c r="A415" s="231" t="str">
        <f>IF(B415&gt;0,VLOOKUP(B415,КВСР!A303:B1468,2),IF(C415&gt;0,VLOOKUP(C415,КФСР!A303:B1815,2),IF(D415&gt;0,VLOOKUP(D415,КЦСР!A303:B4307,2),IF(E415&gt;0,VLOOKUP(E415,КВР!A303:B2234,2)))))</f>
        <v>Программа соц. защиты населения Тутаевского муниципального района на 2011-2013 годы</v>
      </c>
      <c r="B415" s="233"/>
      <c r="C415" s="234"/>
      <c r="D415" s="235">
        <v>7950100</v>
      </c>
      <c r="E415" s="330"/>
      <c r="F415" s="221">
        <v>85762</v>
      </c>
      <c r="G415" s="221">
        <f t="shared" si="33"/>
        <v>85272</v>
      </c>
    </row>
    <row r="416" spans="1:7" s="22" customFormat="1" ht="31.5">
      <c r="A416" s="231" t="str">
        <f>IF(B416&gt;0,VLOOKUP(B416,КВСР!A304:B1469,2),IF(C416&gt;0,VLOOKUP(C416,КФСР!A304:B1816,2),IF(D416&gt;0,VLOOKUP(D416,КЦСР!A304:B4308,2),IF(E416&gt;0,VLOOKUP(E416,КВР!A304:B2235,2)))))</f>
        <v>Субсидии бюджетным учреждениям на иные цели</v>
      </c>
      <c r="B416" s="233"/>
      <c r="C416" s="234"/>
      <c r="D416" s="235"/>
      <c r="E416" s="236">
        <v>612</v>
      </c>
      <c r="F416" s="221">
        <v>85762</v>
      </c>
      <c r="G416" s="221">
        <v>85272</v>
      </c>
    </row>
    <row r="417" spans="1:7" s="22" customFormat="1">
      <c r="A417" s="231" t="str">
        <f>IF(B417&gt;0,VLOOKUP(B417,КВСР!A305:B1470,2),IF(C417&gt;0,VLOOKUP(C417,КФСР!A305:B1817,2),IF(D417&gt;0,VLOOKUP(D417,КЦСР!A305:B4309,2),IF(E417&gt;0,VLOOKUP(E417,КВР!A305:B2236,2)))))</f>
        <v>Охрана семьи и детства</v>
      </c>
      <c r="B417" s="233"/>
      <c r="C417" s="234">
        <v>1004</v>
      </c>
      <c r="D417" s="235"/>
      <c r="E417" s="236"/>
      <c r="F417" s="221">
        <v>4268600</v>
      </c>
      <c r="G417" s="221">
        <f>G419+G422+G426</f>
        <v>4039845</v>
      </c>
    </row>
    <row r="418" spans="1:7" s="22" customFormat="1">
      <c r="A418" s="231" t="str">
        <f>IF(B418&gt;0,VLOOKUP(B418,КВСР!A306:B1471,2),IF(C418&gt;0,VLOOKUP(C418,КФСР!A306:B1818,2),IF(D418&gt;0,VLOOKUP(D418,КЦСР!A306:B4310,2),IF(E418&gt;0,VLOOKUP(E418,КВР!A306:B2237,2)))))</f>
        <v>Социальная помощь</v>
      </c>
      <c r="B418" s="233"/>
      <c r="C418" s="255"/>
      <c r="D418" s="235">
        <v>5050000</v>
      </c>
      <c r="E418" s="236"/>
      <c r="F418" s="221">
        <v>469000</v>
      </c>
      <c r="G418" s="221">
        <f t="shared" ref="G418:G419" si="34">G419</f>
        <v>396839</v>
      </c>
    </row>
    <row r="419" spans="1:7" s="22" customFormat="1" ht="97.5" customHeight="1">
      <c r="A419" s="231" t="str">
        <f>IF(B419&gt;0,VLOOKUP(B419,КВСР!A307:B1472,2),IF(C419&gt;0,VLOOKUP(C419,КФСР!A307:B1819,2),IF(D419&gt;0,VLOOKUP(D419,КЦСР!A307:B4311,2),IF(E419&gt;0,VLOOKUP(E419,КВР!A307:B2238,2)))))</f>
        <v>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v>
      </c>
      <c r="B419" s="233"/>
      <c r="C419" s="234"/>
      <c r="D419" s="235">
        <v>5051900</v>
      </c>
      <c r="E419" s="330"/>
      <c r="F419" s="221">
        <v>469000</v>
      </c>
      <c r="G419" s="221">
        <f t="shared" si="34"/>
        <v>396839</v>
      </c>
    </row>
    <row r="420" spans="1:7" s="22" customFormat="1" ht="33" customHeight="1">
      <c r="A420" s="231" t="str">
        <f>IF(B420&gt;0,VLOOKUP(B420,КВСР!A308:B1473,2),IF(C420&gt;0,VLOOKUP(C420,КФСР!A308:B1820,2),IF(D420&gt;0,VLOOKUP(D420,КЦСР!A308:B4312,2),IF(E420&gt;0,VLOOKUP(E420,КВР!A308:B2239,2)))))</f>
        <v>Пособия и компенсации по публичным нормативным обязательствам</v>
      </c>
      <c r="B420" s="233"/>
      <c r="C420" s="234"/>
      <c r="D420" s="235"/>
      <c r="E420" s="236">
        <v>313</v>
      </c>
      <c r="F420" s="221">
        <v>469000</v>
      </c>
      <c r="G420" s="221">
        <v>396839</v>
      </c>
    </row>
    <row r="421" spans="1:7" s="22" customFormat="1" ht="34.5" customHeight="1">
      <c r="A421" s="231" t="str">
        <f>IF(B421&gt;0,VLOOKUP(B421,КВСР!A309:B1474,2),IF(C421&gt;0,VLOOKUP(C421,КФСР!A309:B1821,2),IF(D421&gt;0,VLOOKUP(D421,КЦСР!A309:B4313,2),IF(E421&gt;0,VLOOKUP(E421,КВР!A309:B2240,2)))))</f>
        <v>Реализация государственных функций в области социальной политики</v>
      </c>
      <c r="B421" s="233"/>
      <c r="C421" s="234"/>
      <c r="D421" s="235">
        <v>5140000</v>
      </c>
      <c r="E421" s="236"/>
      <c r="F421" s="221">
        <v>3774000</v>
      </c>
      <c r="G421" s="221">
        <f t="shared" ref="G421:G422" si="35">G422</f>
        <v>3617406</v>
      </c>
    </row>
    <row r="422" spans="1:7" s="22" customFormat="1" ht="78.75">
      <c r="A422" s="231" t="str">
        <f>IF(B422&gt;0,VLOOKUP(B422,КВСР!A310:B1475,2),IF(C422&gt;0,VLOOKUP(C422,КФСР!A310:B1822,2),IF(D422&gt;0,VLOOKUP(D422,КЦСР!A310:B4314,2),IF(E422&gt;0,VLOOKUP(E422,КВР!A310:B2241,2)))))</f>
        <v>Ежемесячные денежные выплаты, назначаемые в случае рождения третьего ребенка или последующих детей до достижения ребенком возраста трех лет</v>
      </c>
      <c r="B422" s="233"/>
      <c r="C422" s="234"/>
      <c r="D422" s="235">
        <v>5141500</v>
      </c>
      <c r="E422" s="330"/>
      <c r="F422" s="221">
        <v>3774000</v>
      </c>
      <c r="G422" s="221">
        <f t="shared" si="35"/>
        <v>3617406</v>
      </c>
    </row>
    <row r="423" spans="1:7" s="22" customFormat="1" ht="34.5" customHeight="1">
      <c r="A423" s="231" t="str">
        <f>IF(B423&gt;0,VLOOKUP(B423,КВСР!A311:B1476,2),IF(C423&gt;0,VLOOKUP(C423,КФСР!A311:B1823,2),IF(D423&gt;0,VLOOKUP(D423,КЦСР!A311:B4315,2),IF(E423&gt;0,VLOOKUP(E423,КВР!A311:B2242,2)))))</f>
        <v>Пособия и компенсации по публичным нормативным обязательствам</v>
      </c>
      <c r="B423" s="233"/>
      <c r="C423" s="234"/>
      <c r="D423" s="235"/>
      <c r="E423" s="236">
        <v>313</v>
      </c>
      <c r="F423" s="221">
        <v>3774000</v>
      </c>
      <c r="G423" s="221">
        <v>3617406</v>
      </c>
    </row>
    <row r="424" spans="1:7" s="22" customFormat="1">
      <c r="A424" s="231" t="str">
        <f>IF(B424&gt;0,VLOOKUP(B424,КВСР!A312:B1477,2),IF(C424&gt;0,VLOOKUP(C424,КФСР!A312:B1824,2),IF(D424&gt;0,VLOOKUP(D424,КЦСР!A312:B4316,2),IF(E424&gt;0,VLOOKUP(E424,КВР!A312:B2243,2)))))</f>
        <v>Региональные целевые программы</v>
      </c>
      <c r="B424" s="233"/>
      <c r="C424" s="234"/>
      <c r="D424" s="235">
        <v>5220000</v>
      </c>
      <c r="E424" s="236"/>
      <c r="F424" s="221">
        <v>25600</v>
      </c>
      <c r="G424" s="221">
        <f t="shared" ref="G424:G426" si="36">G425</f>
        <v>25600</v>
      </c>
    </row>
    <row r="425" spans="1:7" s="22" customFormat="1" ht="31.5">
      <c r="A425" s="231" t="str">
        <f>IF(B425&gt;0,VLOOKUP(B425,КВСР!A313:B1478,2),IF(C425&gt;0,VLOOKUP(C425,КФСР!A313:B1825,2),IF(D425&gt;0,VLOOKUP(D425,КЦСР!A313:B4317,2),IF(E425&gt;0,VLOOKUP(E425,КВР!A313:B2244,2)))))</f>
        <v>Областная комплексная целевая программа "Семья и дети Ярославии"</v>
      </c>
      <c r="B425" s="233"/>
      <c r="C425" s="234"/>
      <c r="D425" s="235">
        <v>5221300</v>
      </c>
      <c r="E425" s="236"/>
      <c r="F425" s="221">
        <v>25600</v>
      </c>
      <c r="G425" s="221">
        <f t="shared" si="36"/>
        <v>25600</v>
      </c>
    </row>
    <row r="426" spans="1:7" s="22" customFormat="1" ht="47.25">
      <c r="A426" s="231" t="str">
        <f>IF(B426&gt;0,VLOOKUP(B426,КВСР!A314:B1479,2),IF(C426&gt;0,VLOOKUP(C426,КФСР!A314:B1826,2),IF(D426&gt;0,VLOOKUP(D426,КЦСР!A314:B4318,2),IF(E426&gt;0,VLOOKUP(E426,КВР!A314:B2245,2)))))</f>
        <v>Реализация подпрограмм "Семья", "Дети-сироты", Дети-инвалиды", "Одаренные дети"</v>
      </c>
      <c r="B426" s="233"/>
      <c r="C426" s="234"/>
      <c r="D426" s="235">
        <v>5221306</v>
      </c>
      <c r="E426" s="330"/>
      <c r="F426" s="221">
        <v>25600</v>
      </c>
      <c r="G426" s="221">
        <f t="shared" si="36"/>
        <v>25600</v>
      </c>
    </row>
    <row r="427" spans="1:7" s="22" customFormat="1" ht="31.5">
      <c r="A427" s="231" t="str">
        <f>IF(B427&gt;0,VLOOKUP(B427,КВСР!A315:B1480,2),IF(C427&gt;0,VLOOKUP(C427,КФСР!A315:B1827,2),IF(D427&gt;0,VLOOKUP(D427,КЦСР!A315:B4319,2),IF(E427&gt;0,VLOOKUP(E427,КВР!A315:B2246,2)))))</f>
        <v>Приобретение товаров, работ, услуг в пользу граждан</v>
      </c>
      <c r="B427" s="233"/>
      <c r="C427" s="234"/>
      <c r="D427" s="235"/>
      <c r="E427" s="236">
        <v>323</v>
      </c>
      <c r="F427" s="221">
        <v>25600</v>
      </c>
      <c r="G427" s="221">
        <v>25600</v>
      </c>
    </row>
    <row r="428" spans="1:7" s="22" customFormat="1" ht="31.5">
      <c r="A428" s="231" t="str">
        <f>IF(B428&gt;0,VLOOKUP(B428,КВСР!A316:B1481,2),IF(C428&gt;0,VLOOKUP(C428,КФСР!A316:B1828,2),IF(D428&gt;0,VLOOKUP(D428,КЦСР!A316:B4320,2),IF(E428&gt;0,VLOOKUP(E428,КВР!A316:B2247,2)))))</f>
        <v>Другие вопросы в области социальной политики</v>
      </c>
      <c r="B428" s="233"/>
      <c r="C428" s="234">
        <v>1006</v>
      </c>
      <c r="D428" s="229"/>
      <c r="E428" s="236"/>
      <c r="F428" s="221">
        <v>13184907</v>
      </c>
      <c r="G428" s="221">
        <f>G430+G440+G445+G449</f>
        <v>13094195</v>
      </c>
    </row>
    <row r="429" spans="1:7" s="22" customFormat="1" ht="78.75">
      <c r="A429" s="231" t="str">
        <f>IF(B429&gt;0,VLOOKUP(B429,КВСР!A317:B1482,2),IF(C429&gt;0,VLOOKUP(C429,КФСР!A317:B1829,2),IF(D429&gt;0,VLOOKUP(D429,КЦСР!A317:B4321,2),IF(E429&gt;0,VLOOKUP(E429,КВР!A317:B2248,2)))))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429" s="233"/>
      <c r="C429" s="255"/>
      <c r="D429" s="229">
        <v>20000</v>
      </c>
      <c r="E429" s="236"/>
      <c r="F429" s="221">
        <v>11654200</v>
      </c>
      <c r="G429" s="221">
        <f t="shared" ref="G429" si="37">G430</f>
        <v>11653398</v>
      </c>
    </row>
    <row r="430" spans="1:7" s="22" customFormat="1">
      <c r="A430" s="231" t="str">
        <f>IF(B430&gt;0,VLOOKUP(B430,КВСР!A318:B1483,2),IF(C430&gt;0,VLOOKUP(C430,КФСР!A318:B1830,2),IF(D430&gt;0,VLOOKUP(D430,КЦСР!A318:B4322,2),IF(E430&gt;0,VLOOKUP(E430,КВР!A318:B2249,2)))))</f>
        <v>Центральный аппарат</v>
      </c>
      <c r="B430" s="233"/>
      <c r="C430" s="234"/>
      <c r="D430" s="229">
        <v>20400</v>
      </c>
      <c r="E430" s="330"/>
      <c r="F430" s="221">
        <v>11654200</v>
      </c>
      <c r="G430" s="221">
        <f>SUM(G431:G437)</f>
        <v>11653398</v>
      </c>
    </row>
    <row r="431" spans="1:7" s="22" customFormat="1" ht="19.5" customHeight="1">
      <c r="A431" s="231" t="str">
        <f>IF(B431&gt;0,VLOOKUP(B431,КВСР!A319:B1484,2),IF(C431&gt;0,VLOOKUP(C431,КФСР!A319:B1831,2),IF(D431&gt;0,VLOOKUP(D431,КЦСР!A319:B4323,2),IF(E431&gt;0,VLOOKUP(E431,КВР!A319:B2250,2)))))</f>
        <v>Фонд оплаты труда и страховые взносы</v>
      </c>
      <c r="B431" s="233"/>
      <c r="C431" s="234"/>
      <c r="D431" s="229"/>
      <c r="E431" s="236">
        <v>121</v>
      </c>
      <c r="F431" s="221">
        <v>9998163</v>
      </c>
      <c r="G431" s="221">
        <v>9998163</v>
      </c>
    </row>
    <row r="432" spans="1:7" s="22" customFormat="1" ht="31.5">
      <c r="A432" s="231" t="str">
        <f>IF(B432&gt;0,VLOOKUP(B432,КВСР!A320:B1485,2),IF(C432&gt;0,VLOOKUP(C432,КФСР!A320:B1832,2),IF(D432&gt;0,VLOOKUP(D432,КЦСР!A320:B4324,2),IF(E432&gt;0,VLOOKUP(E432,КВР!A320:B2251,2)))))</f>
        <v>Иные выплаты персоналу, за исключением фонда оплаты труда</v>
      </c>
      <c r="B432" s="233"/>
      <c r="C432" s="234"/>
      <c r="D432" s="229"/>
      <c r="E432" s="236">
        <v>122</v>
      </c>
      <c r="F432" s="221">
        <v>1837</v>
      </c>
      <c r="G432" s="221">
        <v>1837</v>
      </c>
    </row>
    <row r="433" spans="1:7" s="22" customFormat="1" ht="47.25">
      <c r="A433" s="231" t="str">
        <f>IF(B433&gt;0,VLOOKUP(B433,КВСР!A321:B1486,2),IF(C433&gt;0,VLOOKUP(C433,КФСР!A321:B1833,2),IF(D433&gt;0,VLOOKUP(D433,КЦСР!A321:B4325,2),IF(E433&gt;0,VLOOKUP(E433,КВР!A321:B2252,2)))))</f>
        <v>Закупка товаров, работ, услуг в сфере информационно-коммуникационных технологий</v>
      </c>
      <c r="B433" s="233"/>
      <c r="C433" s="234"/>
      <c r="D433" s="229"/>
      <c r="E433" s="236">
        <v>242</v>
      </c>
      <c r="F433" s="221">
        <v>474275</v>
      </c>
      <c r="G433" s="221">
        <v>474187</v>
      </c>
    </row>
    <row r="434" spans="1:7" s="22" customFormat="1" ht="31.5">
      <c r="A434" s="231" t="str">
        <f>IF(B434&gt;0,VLOOKUP(B434,КВСР!A322:B1487,2),IF(C434&gt;0,VLOOKUP(C434,КФСР!A322:B1834,2),IF(D434&gt;0,VLOOKUP(D434,КЦСР!A322:B4326,2),IF(E434&gt;0,VLOOKUP(E434,КВР!A322:B2253,2)))))</f>
        <v>Прочая закупка товаров, работ и услуг для государственных нужд</v>
      </c>
      <c r="B434" s="233"/>
      <c r="C434" s="234"/>
      <c r="D434" s="235"/>
      <c r="E434" s="236">
        <v>244</v>
      </c>
      <c r="F434" s="221">
        <v>1157484</v>
      </c>
      <c r="G434" s="221">
        <v>1156770</v>
      </c>
    </row>
    <row r="435" spans="1:7" s="22" customFormat="1" ht="63" hidden="1">
      <c r="A435" s="231" t="str">
        <f>IF(B435&gt;0,VLOOKUP(B435,КВСР!A323:B1488,2),IF(C435&gt;0,VLOOKUP(C435,КФСР!A323:B1835,2),IF(D435&gt;0,VLOOKUP(D435,КЦСР!A323:B4327,2),IF(E435&gt;0,VLOOKUP(E435,КВР!A323:B2254,2)))))</f>
        <v>Пособия и компенсации гражданам и иные социальные выплаты, кроме публичных нормативных обязательств</v>
      </c>
      <c r="B435" s="233"/>
      <c r="C435" s="234"/>
      <c r="D435" s="235"/>
      <c r="E435" s="236">
        <v>321</v>
      </c>
      <c r="F435" s="221">
        <v>0</v>
      </c>
      <c r="G435" s="221"/>
    </row>
    <row r="436" spans="1:7" s="22" customFormat="1" ht="31.5">
      <c r="A436" s="231" t="str">
        <f>IF(B436&gt;0,VLOOKUP(B436,КВСР!A324:B1489,2),IF(C436&gt;0,VLOOKUP(C436,КФСР!A324:B1836,2),IF(D436&gt;0,VLOOKUP(D436,КЦСР!A324:B4328,2),IF(E436&gt;0,VLOOKUP(E436,КВР!A324:B2255,2)))))</f>
        <v>Уплата налога на имущество организаций и земельного налога</v>
      </c>
      <c r="B436" s="233"/>
      <c r="C436" s="234"/>
      <c r="D436" s="235"/>
      <c r="E436" s="236">
        <v>851</v>
      </c>
      <c r="F436" s="221">
        <v>10161</v>
      </c>
      <c r="G436" s="221">
        <v>10161</v>
      </c>
    </row>
    <row r="437" spans="1:7" s="22" customFormat="1" ht="31.5">
      <c r="A437" s="231" t="str">
        <f>IF(B437&gt;0,VLOOKUP(B437,КВСР!A325:B1490,2),IF(C437&gt;0,VLOOKUP(C437,КФСР!A325:B1837,2),IF(D437&gt;0,VLOOKUP(D437,КЦСР!A325:B4329,2),IF(E437&gt;0,VLOOKUP(E437,КВР!A325:B2256,2)))))</f>
        <v>Уплата прочих налогов, сборов и иных обязательных платежей</v>
      </c>
      <c r="B437" s="233"/>
      <c r="C437" s="234"/>
      <c r="D437" s="235"/>
      <c r="E437" s="236">
        <v>852</v>
      </c>
      <c r="F437" s="221">
        <v>12280</v>
      </c>
      <c r="G437" s="221">
        <v>12280</v>
      </c>
    </row>
    <row r="438" spans="1:7" s="22" customFormat="1" ht="47.25">
      <c r="A438" s="231" t="str">
        <f>IF(B438&gt;0,VLOOKUP(B438,КВСР!A326:B1491,2),IF(C438&gt;0,VLOOKUP(C438,КФСР!A326:B1838,2),IF(D438&gt;0,VLOOKUP(D438,КЦСР!A326:B4330,2),IF(E438&gt;0,VLOOKUP(E438,КВР!A326:B2257,2)))))</f>
        <v>Реализация государственных функций, связанных с общегосударственным управлением</v>
      </c>
      <c r="B438" s="233"/>
      <c r="C438" s="234"/>
      <c r="D438" s="235">
        <v>920000</v>
      </c>
      <c r="E438" s="236"/>
      <c r="F438" s="221">
        <v>186788</v>
      </c>
      <c r="G438" s="221">
        <f>G439</f>
        <v>96878</v>
      </c>
    </row>
    <row r="439" spans="1:7" s="22" customFormat="1" ht="50.25" customHeight="1">
      <c r="A439" s="231" t="str">
        <f>IF(B439&gt;0,VLOOKUP(B439,КВСР!A327:B1492,2),IF(C439&gt;0,VLOOKUP(C439,КФСР!A327:B1839,2),IF(D439&gt;0,VLOOKUP(D439,КЦСР!A327:B4331,2),IF(E439&gt;0,VLOOKUP(E439,КВР!A327:B2258,2)))))</f>
        <v>Программа энергосбережения и повышения энергетической эффективности на период до 2020 года</v>
      </c>
      <c r="B439" s="233"/>
      <c r="C439" s="234"/>
      <c r="D439" s="235">
        <v>923400</v>
      </c>
      <c r="E439" s="236"/>
      <c r="F439" s="221">
        <v>186788</v>
      </c>
      <c r="G439" s="221">
        <f t="shared" ref="G439" si="38">G440</f>
        <v>96878</v>
      </c>
    </row>
    <row r="440" spans="1:7" s="22" customFormat="1" ht="117" customHeight="1">
      <c r="A440" s="231" t="str">
        <f>IF(B440&gt;0,VLOOKUP(B440,КВСР!A328:B1493,2),IF(C440&gt;0,VLOOKUP(C440,КФСР!A328:B1840,2),IF(D440&gt;0,VLOOKUP(D440,КЦСР!A328:B4332,2),IF(E440&gt;0,VLOOKUP(E440,КВР!A328:B2259,2)))))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440" s="233"/>
      <c r="C440" s="234"/>
      <c r="D440" s="235">
        <v>923403</v>
      </c>
      <c r="E440" s="330"/>
      <c r="F440" s="221">
        <v>186788</v>
      </c>
      <c r="G440" s="221">
        <f>SUM(G441:G442)</f>
        <v>96878</v>
      </c>
    </row>
    <row r="441" spans="1:7" s="22" customFormat="1" ht="31.5">
      <c r="A441" s="231" t="str">
        <f>IF(B441&gt;0,VLOOKUP(B441,КВСР!A329:B1494,2),IF(C441&gt;0,VLOOKUP(C441,КФСР!A329:B1841,2),IF(D441&gt;0,VLOOKUP(D441,КЦСР!A329:B4333,2),IF(E441&gt;0,VLOOKUP(E441,КВР!A329:B2260,2)))))</f>
        <v>Прочая закупка товаров, работ и услуг для государственных нужд</v>
      </c>
      <c r="B441" s="233"/>
      <c r="C441" s="234"/>
      <c r="D441" s="235"/>
      <c r="E441" s="236">
        <v>244</v>
      </c>
      <c r="F441" s="221">
        <v>112259</v>
      </c>
      <c r="G441" s="221">
        <v>22349</v>
      </c>
    </row>
    <row r="442" spans="1:7" s="22" customFormat="1" ht="31.5">
      <c r="A442" s="231" t="str">
        <f>IF(B442&gt;0,VLOOKUP(B442,КВСР!A330:B1495,2),IF(C442&gt;0,VLOOKUP(C442,КФСР!A330:B1842,2),IF(D442&gt;0,VLOOKUP(D442,КЦСР!A330:B4334,2),IF(E442&gt;0,VLOOKUP(E442,КВР!A330:B2261,2)))))</f>
        <v>Субсидии бюджетным учреждениям на иные цели</v>
      </c>
      <c r="B442" s="233"/>
      <c r="C442" s="234"/>
      <c r="D442" s="235"/>
      <c r="E442" s="236">
        <v>612</v>
      </c>
      <c r="F442" s="221">
        <v>74529</v>
      </c>
      <c r="G442" s="221">
        <v>74529</v>
      </c>
    </row>
    <row r="443" spans="1:7" s="22" customFormat="1" ht="32.25" customHeight="1">
      <c r="A443" s="231" t="str">
        <f>IF(B443&gt;0,VLOOKUP(B443,КВСР!A331:B1496,2),IF(C443&gt;0,VLOOKUP(C443,КФСР!A331:B1843,2),IF(D443&gt;0,VLOOKUP(D443,КЦСР!A331:B4335,2),IF(E443&gt;0,VLOOKUP(E443,КВР!A331:B2262,2)))))</f>
        <v>Реализация государственных функций в области социальной политики</v>
      </c>
      <c r="B443" s="233"/>
      <c r="C443" s="234"/>
      <c r="D443" s="235">
        <v>5140000</v>
      </c>
      <c r="E443" s="236"/>
      <c r="F443" s="221">
        <v>1280000</v>
      </c>
      <c r="G443" s="221">
        <f t="shared" ref="G443:G445" si="39">G444</f>
        <v>1280000</v>
      </c>
    </row>
    <row r="444" spans="1:7" s="22" customFormat="1" ht="174" customHeight="1">
      <c r="A444" s="231" t="str">
        <f>IF(B444&gt;0,VLOOKUP(B444,КВСР!A332:B1497,2),IF(C444&gt;0,VLOOKUP(C444,КФСР!A332:B1844,2),IF(D444&gt;0,VLOOKUP(D444,КЦСР!A332:B4336,2),IF(E444&gt;0,VLOOKUP(E444,КВР!A332:B2263,2)))))</f>
        <v>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пенсионерамсоциального обслуживания населения и оказанием адресной социальной помощи неработающим пенсионерам</v>
      </c>
      <c r="B444" s="233"/>
      <c r="C444" s="234"/>
      <c r="D444" s="235">
        <v>5144100</v>
      </c>
      <c r="E444" s="236"/>
      <c r="F444" s="221">
        <v>1280000</v>
      </c>
      <c r="G444" s="221">
        <f t="shared" si="39"/>
        <v>1280000</v>
      </c>
    </row>
    <row r="445" spans="1:7" s="22" customFormat="1" ht="78.75">
      <c r="A445" s="231" t="str">
        <f>IF(B445&gt;0,VLOOKUP(B445,КВСР!A333:B1498,2),IF(C445&gt;0,VLOOKUP(C445,КФСР!A333:B1845,2),IF(D445&gt;0,VLOOKUP(D445,КЦСР!A333:B4337,2),IF(E445&gt;0,VLOOKUP(E445,КВР!A333:B2264,2)))))</f>
        <v>Софинансирование  региональной программы "Социальная поддержка пожилых граждан Ярославской области" за счет средств Пенсионного Фонда Российской Федерации</v>
      </c>
      <c r="B445" s="233"/>
      <c r="C445" s="234"/>
      <c r="D445" s="235">
        <v>5144102</v>
      </c>
      <c r="E445" s="330"/>
      <c r="F445" s="221">
        <v>1280000</v>
      </c>
      <c r="G445" s="221">
        <f t="shared" si="39"/>
        <v>1280000</v>
      </c>
    </row>
    <row r="446" spans="1:7" s="22" customFormat="1" ht="33.75" customHeight="1">
      <c r="A446" s="231" t="str">
        <f>IF(B446&gt;0,VLOOKUP(B446,КВСР!A334:B1499,2),IF(C446&gt;0,VLOOKUP(C446,КФСР!A334:B1846,2),IF(D446&gt;0,VLOOKUP(D446,КЦСР!A334:B4338,2),IF(E446&gt;0,VLOOKUP(E446,КВР!A334:B2265,2)))))</f>
        <v>Субсидии бюджетным учреждениям на иные цели</v>
      </c>
      <c r="B446" s="233"/>
      <c r="C446" s="234"/>
      <c r="D446" s="235"/>
      <c r="E446" s="236">
        <v>612</v>
      </c>
      <c r="F446" s="221">
        <v>1280000</v>
      </c>
      <c r="G446" s="221">
        <v>1280000</v>
      </c>
    </row>
    <row r="447" spans="1:7" s="22" customFormat="1" ht="33.75" customHeight="1">
      <c r="A447" s="231" t="str">
        <f>IF(B447&gt;0,VLOOKUP(B447,КВСР!A335:B1500,2),IF(C447&gt;0,VLOOKUP(C447,КФСР!A335:B1847,2),IF(D447&gt;0,VLOOKUP(D447,КЦСР!A335:B4339,2),IF(E447&gt;0,VLOOKUP(E447,КВР!A335:B2266,2)))))</f>
        <v>Иные безвозмездные и безвозвратные перечисления</v>
      </c>
      <c r="B447" s="233"/>
      <c r="C447" s="234"/>
      <c r="D447" s="235">
        <v>5200000</v>
      </c>
      <c r="E447" s="236"/>
      <c r="F447" s="221">
        <v>63919</v>
      </c>
      <c r="G447" s="221">
        <f t="shared" ref="G447:G448" si="40">G448</f>
        <v>63919</v>
      </c>
    </row>
    <row r="448" spans="1:7" s="22" customFormat="1" ht="47.25">
      <c r="A448" s="231" t="str">
        <f>IF(B448&gt;0,VLOOKUP(B448,КВСР!A336:B1501,2),IF(C448&gt;0,VLOOKUP(C448,КФСР!A336:B1848,2),IF(D448&gt;0,VLOOKUP(D448,КЦСР!A336:B4340,2),IF(E448&gt;0,VLOOKUP(E448,КВР!A336:B2267,2)))))</f>
        <v>Реализация региональных программ повышения эффективности бюджетных расходов</v>
      </c>
      <c r="B448" s="233"/>
      <c r="C448" s="234"/>
      <c r="D448" s="235">
        <v>5202400</v>
      </c>
      <c r="E448" s="236"/>
      <c r="F448" s="221">
        <v>63919</v>
      </c>
      <c r="G448" s="221">
        <f t="shared" si="40"/>
        <v>63919</v>
      </c>
    </row>
    <row r="449" spans="1:7" s="22" customFormat="1" ht="47.25">
      <c r="A449" s="231" t="str">
        <f>IF(B449&gt;0,VLOOKUP(B449,КВСР!A337:B1502,2),IF(C449&gt;0,VLOOKUP(C449,КФСР!A337:B1849,2),IF(D449&gt;0,VLOOKUP(D449,КЦСР!A337:B4341,2),IF(E449&gt;0,VLOOKUP(E449,КВР!A337:B2268,2)))))</f>
        <v>Реализация муниципальной программы "Повышение эффективности бюджетных расходов"</v>
      </c>
      <c r="B449" s="233"/>
      <c r="C449" s="234"/>
      <c r="D449" s="235">
        <v>5202402</v>
      </c>
      <c r="E449" s="330"/>
      <c r="F449" s="221">
        <v>63919</v>
      </c>
      <c r="G449" s="221">
        <f>SUM(G450:G451)</f>
        <v>63919</v>
      </c>
    </row>
    <row r="450" spans="1:7" s="22" customFormat="1" ht="31.5">
      <c r="A450" s="231" t="str">
        <f>IF(B450&gt;0,VLOOKUP(B450,КВСР!A338:B1503,2),IF(C450&gt;0,VLOOKUP(C450,КФСР!A338:B1850,2),IF(D450&gt;0,VLOOKUP(D450,КЦСР!A338:B4342,2),IF(E450&gt;0,VLOOKUP(E450,КВР!A338:B2269,2)))))</f>
        <v>Фонд оплаты труда и страховые взносы</v>
      </c>
      <c r="B450" s="233"/>
      <c r="C450" s="234"/>
      <c r="D450" s="235"/>
      <c r="E450" s="236">
        <v>121</v>
      </c>
      <c r="F450" s="221">
        <v>47619</v>
      </c>
      <c r="G450" s="221">
        <v>47619</v>
      </c>
    </row>
    <row r="451" spans="1:7" s="22" customFormat="1" ht="31.5">
      <c r="A451" s="231" t="str">
        <f>IF(B451&gt;0,VLOOKUP(B451,КВСР!A339:B1504,2),IF(C451&gt;0,VLOOKUP(C451,КФСР!A339:B1851,2),IF(D451&gt;0,VLOOKUP(D451,КЦСР!A339:B4343,2),IF(E451&gt;0,VLOOKUP(E451,КВР!A339:B2270,2)))))</f>
        <v>Прочая закупка товаров, работ и услуг для государственных нужд</v>
      </c>
      <c r="B451" s="233"/>
      <c r="C451" s="234"/>
      <c r="D451" s="235"/>
      <c r="E451" s="236">
        <v>244</v>
      </c>
      <c r="F451" s="221">
        <v>16300</v>
      </c>
      <c r="G451" s="221">
        <v>16300</v>
      </c>
    </row>
    <row r="452" spans="1:7" s="22" customFormat="1" ht="31.5">
      <c r="A452" s="226" t="str">
        <f>IF(B452&gt;0,VLOOKUP(B452,КВСР!A256:B1421,2),IF(#REF!&gt;0,VLOOKUP(#REF!,КФСР!A256:B1768,2),IF(D452&gt;0,VLOOKUP(D452,КЦСР!A256:B4260,2),IF(#REF!&gt;0,VLOOKUP(#REF!,КВР!A256:B2187,2)))))</f>
        <v>Департамент финансов администрации ТМР</v>
      </c>
      <c r="B452" s="227">
        <v>955</v>
      </c>
      <c r="C452" s="234"/>
      <c r="D452" s="229"/>
      <c r="E452" s="236"/>
      <c r="F452" s="222">
        <v>31921245</v>
      </c>
      <c r="G452" s="222">
        <f>G453+G463+G474+G478+G487+G491+G501+G496</f>
        <v>31780885</v>
      </c>
    </row>
    <row r="453" spans="1:7" s="22" customFormat="1" ht="64.5" customHeight="1">
      <c r="A453" s="231" t="str">
        <f>IF(B453&gt;0,VLOOKUP(B453,КВСР!A340:B1505,2),IF(C453&gt;0,VLOOKUP(C453,КФСР!A340:B1852,2),IF(D453&gt;0,VLOOKUP(D453,КЦСР!A340:B4344,2),IF(E453&gt;0,VLOOKUP(E453,КВР!A340:B2271,2)))))</f>
        <v>Обеспечение деятельности финансовых, налоговых и таможенных органов и органов финансового (финансово-бюджетного) надзора</v>
      </c>
      <c r="B453" s="233"/>
      <c r="C453" s="234">
        <v>106</v>
      </c>
      <c r="D453" s="235"/>
      <c r="E453" s="236"/>
      <c r="F453" s="221">
        <v>13619932</v>
      </c>
      <c r="G453" s="221">
        <f>G455</f>
        <v>13481570</v>
      </c>
    </row>
    <row r="454" spans="1:7" s="22" customFormat="1" ht="78.75">
      <c r="A454" s="231" t="str">
        <f>IF(B454&gt;0,VLOOKUP(B454,КВСР!A341:B1506,2),IF(C454&gt;0,VLOOKUP(C454,КФСР!A341:B1853,2),IF(D454&gt;0,VLOOKUP(D454,КЦСР!A341:B4345,2),IF(E454&gt;0,VLOOKUP(E454,КВР!A341:B2272,2)))))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454" s="233"/>
      <c r="C454" s="255"/>
      <c r="D454" s="235">
        <v>20000</v>
      </c>
      <c r="E454" s="236"/>
      <c r="F454" s="221">
        <v>13619932</v>
      </c>
      <c r="G454" s="221">
        <f t="shared" ref="G454" si="41">G455</f>
        <v>13481570</v>
      </c>
    </row>
    <row r="455" spans="1:7" s="22" customFormat="1">
      <c r="A455" s="231" t="str">
        <f>IF(B455&gt;0,VLOOKUP(B455,КВСР!A342:B1507,2),IF(C455&gt;0,VLOOKUP(C455,КФСР!A342:B1854,2),IF(D455&gt;0,VLOOKUP(D455,КЦСР!A342:B4346,2),IF(E455&gt;0,VLOOKUP(E455,КВР!A342:B2273,2)))))</f>
        <v>Центральный аппарат</v>
      </c>
      <c r="B455" s="233"/>
      <c r="C455" s="234"/>
      <c r="D455" s="229">
        <v>20400</v>
      </c>
      <c r="E455" s="330"/>
      <c r="F455" s="221">
        <v>13619932</v>
      </c>
      <c r="G455" s="221">
        <f>SUM(G456:G462)</f>
        <v>13481570</v>
      </c>
    </row>
    <row r="456" spans="1:7" ht="23.25" customHeight="1">
      <c r="A456" s="231" t="str">
        <f>IF(B456&gt;0,VLOOKUP(B456,КВСР!A343:B1508,2),IF(C456&gt;0,VLOOKUP(C456,КФСР!A343:B1855,2),IF(D456&gt;0,VLOOKUP(D456,КЦСР!A343:B4347,2),IF(E456&gt;0,VLOOKUP(E456,КВР!A343:B2274,2)))))</f>
        <v>Фонд оплаты труда и страховые взносы</v>
      </c>
      <c r="B456" s="233"/>
      <c r="C456" s="234"/>
      <c r="D456" s="235"/>
      <c r="E456" s="236">
        <v>121</v>
      </c>
      <c r="F456" s="221">
        <v>10375252</v>
      </c>
      <c r="G456" s="221">
        <v>10357946</v>
      </c>
    </row>
    <row r="457" spans="1:7" ht="31.5">
      <c r="A457" s="231" t="str">
        <f>IF(B457&gt;0,VLOOKUP(B457,КВСР!A344:B1509,2),IF(C457&gt;0,VLOOKUP(C457,КФСР!A344:B1856,2),IF(D457&gt;0,VLOOKUP(D457,КЦСР!A344:B4348,2),IF(E457&gt;0,VLOOKUP(E457,КВР!A344:B2275,2)))))</f>
        <v>Иные выплаты персоналу, за исключением фонда оплаты труда</v>
      </c>
      <c r="B457" s="233"/>
      <c r="C457" s="234"/>
      <c r="D457" s="235"/>
      <c r="E457" s="236">
        <v>122</v>
      </c>
      <c r="F457" s="221">
        <v>5000</v>
      </c>
      <c r="G457" s="221">
        <v>2950</v>
      </c>
    </row>
    <row r="458" spans="1:7" ht="47.25">
      <c r="A458" s="231" t="str">
        <f>IF(B458&gt;0,VLOOKUP(B458,КВСР!A345:B1510,2),IF(C458&gt;0,VLOOKUP(C458,КФСР!A345:B1857,2),IF(D458&gt;0,VLOOKUP(D458,КЦСР!A345:B4349,2),IF(E458&gt;0,VLOOKUP(E458,КВР!A345:B2276,2)))))</f>
        <v>Закупка товаров, работ, услуг в сфере информационно-коммуникационных технологий</v>
      </c>
      <c r="B458" s="233"/>
      <c r="C458" s="234"/>
      <c r="D458" s="235"/>
      <c r="E458" s="236">
        <v>242</v>
      </c>
      <c r="F458" s="221">
        <v>1159740</v>
      </c>
      <c r="G458" s="221">
        <v>1063836</v>
      </c>
    </row>
    <row r="459" spans="1:7" ht="47.25" hidden="1">
      <c r="A459" s="231" t="str">
        <f>IF(B459&gt;0,VLOOKUP(B459,КВСР!A346:B1511,2),IF(C459&gt;0,VLOOKUP(C459,КФСР!A346:B1858,2),IF(D459&gt;0,VLOOKUP(D459,КЦСР!A346:B4350,2),IF(E459&gt;0,VLOOKUP(E459,КВР!A346:B2277,2)))))</f>
        <v xml:space="preserve">Закупка товаров, работ, услуг в целях капитального ремонта государственного имущества </v>
      </c>
      <c r="B459" s="233"/>
      <c r="C459" s="234"/>
      <c r="D459" s="235"/>
      <c r="E459" s="236">
        <v>243</v>
      </c>
      <c r="F459" s="221">
        <v>0</v>
      </c>
      <c r="G459" s="221"/>
    </row>
    <row r="460" spans="1:7" ht="31.5">
      <c r="A460" s="231" t="str">
        <f>IF(B460&gt;0,VLOOKUP(B460,КВСР!A347:B1512,2),IF(C460&gt;0,VLOOKUP(C460,КФСР!A347:B1859,2),IF(D460&gt;0,VLOOKUP(D460,КЦСР!A347:B4351,2),IF(E460&gt;0,VLOOKUP(E460,КВР!A347:B2278,2)))))</f>
        <v>Прочая закупка товаров, работ и услуг для государственных нужд</v>
      </c>
      <c r="B460" s="233"/>
      <c r="C460" s="234"/>
      <c r="D460" s="235"/>
      <c r="E460" s="236">
        <v>244</v>
      </c>
      <c r="F460" s="221">
        <v>2022940</v>
      </c>
      <c r="G460" s="221">
        <v>2013396</v>
      </c>
    </row>
    <row r="461" spans="1:7" ht="31.5">
      <c r="A461" s="231" t="str">
        <f>IF(B461&gt;0,VLOOKUP(B461,КВСР!A348:B1513,2),IF(C461&gt;0,VLOOKUP(C461,КФСР!A348:B1860,2),IF(D461&gt;0,VLOOKUP(D461,КЦСР!A348:B4352,2),IF(E461&gt;0,VLOOKUP(E461,КВР!A348:B2279,2)))))</f>
        <v>Уплата налога на имущество организаций и земельного налога</v>
      </c>
      <c r="B461" s="233"/>
      <c r="C461" s="234"/>
      <c r="D461" s="235"/>
      <c r="E461" s="236">
        <v>851</v>
      </c>
      <c r="F461" s="221">
        <v>41000</v>
      </c>
      <c r="G461" s="221">
        <v>35741</v>
      </c>
    </row>
    <row r="462" spans="1:7" ht="31.5">
      <c r="A462" s="231" t="str">
        <f>IF(B462&gt;0,VLOOKUP(B462,КВСР!A349:B1514,2),IF(C462&gt;0,VLOOKUP(C462,КФСР!A349:B1861,2),IF(D462&gt;0,VLOOKUP(D462,КЦСР!A349:B4353,2),IF(E462&gt;0,VLOOKUP(E462,КВР!A349:B2280,2)))))</f>
        <v>Уплата прочих налогов, сборов и иных обязательных платежей</v>
      </c>
      <c r="B462" s="233"/>
      <c r="C462" s="234"/>
      <c r="D462" s="235"/>
      <c r="E462" s="236">
        <v>852</v>
      </c>
      <c r="F462" s="221">
        <v>16000</v>
      </c>
      <c r="G462" s="221">
        <v>7701</v>
      </c>
    </row>
    <row r="463" spans="1:7" ht="23.25" customHeight="1">
      <c r="A463" s="231" t="str">
        <f>IF(B463&gt;0,VLOOKUP(B463,КВСР!A350:B1515,2),IF(C463&gt;0,VLOOKUP(C463,КФСР!A350:B1862,2),IF(D463&gt;0,VLOOKUP(D463,КЦСР!A350:B4354,2),IF(E463&gt;0,VLOOKUP(E463,КВР!A350:B2281,2)))))</f>
        <v>Другие общегосударственные вопросы</v>
      </c>
      <c r="B463" s="233"/>
      <c r="C463" s="234">
        <v>113</v>
      </c>
      <c r="D463" s="235"/>
      <c r="E463" s="236"/>
      <c r="F463" s="221">
        <v>1493438</v>
      </c>
      <c r="G463" s="221">
        <f>G466+G470</f>
        <v>1493438</v>
      </c>
    </row>
    <row r="464" spans="1:7" ht="47.25">
      <c r="A464" s="231" t="str">
        <f>IF(B464&gt;0,VLOOKUP(B464,КВСР!A351:B1516,2),IF(C464&gt;0,VLOOKUP(C464,КФСР!A351:B1863,2),IF(D464&gt;0,VLOOKUP(D464,КЦСР!A351:B4355,2),IF(E464&gt;0,VLOOKUP(E464,КВР!A351:B2282,2)))))</f>
        <v>Реализация государственных функций, связанных с общегосударственным управлением</v>
      </c>
      <c r="B464" s="233"/>
      <c r="C464" s="243"/>
      <c r="D464" s="235">
        <v>920000</v>
      </c>
      <c r="E464" s="236"/>
      <c r="F464" s="221">
        <v>10989</v>
      </c>
      <c r="G464" s="221">
        <f t="shared" ref="G464:G466" si="42">G465</f>
        <v>10989</v>
      </c>
    </row>
    <row r="465" spans="1:7" ht="51.75" customHeight="1">
      <c r="A465" s="231" t="str">
        <f>IF(B465&gt;0,VLOOKUP(B465,КВСР!A352:B1517,2),IF(C465&gt;0,VLOOKUP(C465,КФСР!A352:B1864,2),IF(D465&gt;0,VLOOKUP(D465,КЦСР!A352:B4356,2),IF(E465&gt;0,VLOOKUP(E465,КВР!A352:B2283,2)))))</f>
        <v>Программа энергосбережения и повышения энергетической эффективности на период до 2020 года</v>
      </c>
      <c r="B465" s="233"/>
      <c r="C465" s="234"/>
      <c r="D465" s="235">
        <v>923400</v>
      </c>
      <c r="E465" s="236"/>
      <c r="F465" s="221">
        <v>10989</v>
      </c>
      <c r="G465" s="221">
        <f t="shared" si="42"/>
        <v>10989</v>
      </c>
    </row>
    <row r="466" spans="1:7" ht="116.25" customHeight="1">
      <c r="A466" s="231" t="str">
        <f>IF(B466&gt;0,VLOOKUP(B466,КВСР!A353:B1518,2),IF(C466&gt;0,VLOOKUP(C466,КФСР!A353:B1865,2),IF(D466&gt;0,VLOOKUP(D466,КЦСР!A353:B4357,2),IF(E466&gt;0,VLOOKUP(E466,КВР!A353:B2284,2)))))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466" s="233"/>
      <c r="C466" s="234"/>
      <c r="D466" s="235">
        <v>923403</v>
      </c>
      <c r="E466" s="331"/>
      <c r="F466" s="221">
        <v>10989</v>
      </c>
      <c r="G466" s="221">
        <f t="shared" si="42"/>
        <v>10989</v>
      </c>
    </row>
    <row r="467" spans="1:7" ht="31.5">
      <c r="A467" s="231" t="str">
        <f>IF(B467&gt;0,VLOOKUP(B467,КВСР!A354:B1519,2),IF(C467&gt;0,VLOOKUP(C467,КФСР!A354:B1866,2),IF(D467&gt;0,VLOOKUP(D467,КЦСР!A354:B4358,2),IF(E467&gt;0,VLOOKUP(E467,КВР!A354:B2285,2)))))</f>
        <v>Прочая закупка товаров, работ и услуг для государственных нужд</v>
      </c>
      <c r="B467" s="233"/>
      <c r="C467" s="234"/>
      <c r="D467" s="235"/>
      <c r="E467" s="236">
        <v>244</v>
      </c>
      <c r="F467" s="221">
        <v>10989</v>
      </c>
      <c r="G467" s="221">
        <v>10989</v>
      </c>
    </row>
    <row r="468" spans="1:7" ht="31.5">
      <c r="A468" s="231" t="str">
        <f>IF(B468&gt;0,VLOOKUP(B468,КВСР!A355:B1520,2),IF(C468&gt;0,VLOOKUP(C468,КФСР!A355:B1867,2),IF(D468&gt;0,VLOOKUP(D468,КЦСР!A355:B4359,2),IF(E468&gt;0,VLOOKUP(E468,КВР!A355:B2286,2)))))</f>
        <v>Иные безвозмездные и безвозвратные перечисления</v>
      </c>
      <c r="B468" s="233"/>
      <c r="C468" s="234"/>
      <c r="D468" s="235">
        <v>5200000</v>
      </c>
      <c r="E468" s="236"/>
      <c r="F468" s="221">
        <v>1482449</v>
      </c>
      <c r="G468" s="221">
        <f t="shared" ref="G468:G469" si="43">G469</f>
        <v>1482449</v>
      </c>
    </row>
    <row r="469" spans="1:7" ht="47.25">
      <c r="A469" s="231" t="str">
        <f>IF(B469&gt;0,VLOOKUP(B469,КВСР!A356:B1521,2),IF(C469&gt;0,VLOOKUP(C469,КФСР!A356:B1868,2),IF(D469&gt;0,VLOOKUP(D469,КЦСР!A356:B4360,2),IF(E469&gt;0,VLOOKUP(E469,КВР!A356:B2287,2)))))</f>
        <v>Реализация региональных программ повышения эффективности бюджетных расходов</v>
      </c>
      <c r="B469" s="233"/>
      <c r="C469" s="234"/>
      <c r="D469" s="235">
        <v>5202400</v>
      </c>
      <c r="E469" s="236"/>
      <c r="F469" s="221">
        <v>1482449</v>
      </c>
      <c r="G469" s="221">
        <f t="shared" si="43"/>
        <v>1482449</v>
      </c>
    </row>
    <row r="470" spans="1:7" ht="47.25">
      <c r="A470" s="231" t="str">
        <f>IF(B470&gt;0,VLOOKUP(B470,КВСР!A357:B1522,2),IF(C470&gt;0,VLOOKUP(C470,КФСР!A357:B1869,2),IF(D470&gt;0,VLOOKUP(D470,КЦСР!A357:B4361,2),IF(E470&gt;0,VLOOKUP(E470,КВР!A357:B2288,2)))))</f>
        <v>Реализация муниципальной программы "Повышение эффективности бюджетных расходов"</v>
      </c>
      <c r="B470" s="233"/>
      <c r="C470" s="234"/>
      <c r="D470" s="235">
        <v>5202402</v>
      </c>
      <c r="E470" s="331"/>
      <c r="F470" s="221">
        <v>1482449</v>
      </c>
      <c r="G470" s="221">
        <f>SUM(G471:G473)</f>
        <v>1482449</v>
      </c>
    </row>
    <row r="471" spans="1:7" ht="31.5">
      <c r="A471" s="231" t="str">
        <f>IF(B471&gt;0,VLOOKUP(B471,КВСР!A358:B1523,2),IF(C471&gt;0,VLOOKUP(C471,КФСР!A358:B1870,2),IF(D471&gt;0,VLOOKUP(D471,КЦСР!A358:B4362,2),IF(E471&gt;0,VLOOKUP(E471,КВР!A358:B2289,2)))))</f>
        <v>Фонд оплаты труда и страховые взносы</v>
      </c>
      <c r="B471" s="233"/>
      <c r="C471" s="234"/>
      <c r="D471" s="235"/>
      <c r="E471" s="236">
        <v>121</v>
      </c>
      <c r="F471" s="221">
        <v>193743</v>
      </c>
      <c r="G471" s="221">
        <v>193743</v>
      </c>
    </row>
    <row r="472" spans="1:7" ht="47.25">
      <c r="A472" s="231" t="str">
        <f>IF(B472&gt;0,VLOOKUP(B472,КВСР!A359:B1524,2),IF(C472&gt;0,VLOOKUP(C472,КФСР!A359:B1871,2),IF(D472&gt;0,VLOOKUP(D472,КЦСР!A359:B4363,2),IF(E472&gt;0,VLOOKUP(E472,КВР!A359:B2290,2)))))</f>
        <v>Закупка товаров, работ, услуг в сфере информационно-коммуникационных технологий</v>
      </c>
      <c r="B472" s="233"/>
      <c r="C472" s="234"/>
      <c r="D472" s="235"/>
      <c r="E472" s="236">
        <v>242</v>
      </c>
      <c r="F472" s="221">
        <v>887219</v>
      </c>
      <c r="G472" s="221">
        <v>887219</v>
      </c>
    </row>
    <row r="473" spans="1:7" ht="31.5">
      <c r="A473" s="231" t="str">
        <f>IF(B473&gt;0,VLOOKUP(B473,КВСР!A360:B1525,2),IF(C473&gt;0,VLOOKUP(C473,КФСР!A360:B1872,2),IF(D473&gt;0,VLOOKUP(D473,КЦСР!A360:B4364,2),IF(E473&gt;0,VLOOKUP(E473,КВР!A360:B2291,2)))))</f>
        <v>Прочая закупка товаров, работ и услуг для государственных нужд</v>
      </c>
      <c r="B473" s="233"/>
      <c r="C473" s="234"/>
      <c r="D473" s="235"/>
      <c r="E473" s="236">
        <v>244</v>
      </c>
      <c r="F473" s="221">
        <v>401487</v>
      </c>
      <c r="G473" s="221">
        <v>401487</v>
      </c>
    </row>
    <row r="474" spans="1:7" ht="31.5">
      <c r="A474" s="231" t="str">
        <f>IF(B474&gt;0,VLOOKUP(B474,КВСР!A361:B1526,2),IF(C474&gt;0,VLOOKUP(C474,КФСР!A361:B1873,2),IF(D474&gt;0,VLOOKUP(D474,КЦСР!A361:B4365,2),IF(E474&gt;0,VLOOKUP(E474,КВР!A361:B2292,2)))))</f>
        <v>Мобилизационная и вневойсковая подготовка</v>
      </c>
      <c r="B474" s="233"/>
      <c r="C474" s="234">
        <v>203</v>
      </c>
      <c r="D474" s="235"/>
      <c r="E474" s="236"/>
      <c r="F474" s="221">
        <v>675000</v>
      </c>
      <c r="G474" s="221">
        <f t="shared" ref="G474:G485" si="44">G475</f>
        <v>675000</v>
      </c>
    </row>
    <row r="475" spans="1:7" ht="31.5">
      <c r="A475" s="231" t="str">
        <f>IF(B475&gt;0,VLOOKUP(B475,КВСР!A362:B1527,2),IF(C475&gt;0,VLOOKUP(C475,КФСР!A362:B1874,2),IF(D475&gt;0,VLOOKUP(D475,КЦСР!A362:B4366,2),IF(E475&gt;0,VLOOKUP(E475,КВР!A362:B2293,2)))))</f>
        <v>Руководство и управление в сфере установленных функций</v>
      </c>
      <c r="B475" s="233"/>
      <c r="C475" s="234"/>
      <c r="D475" s="235">
        <v>10000</v>
      </c>
      <c r="E475" s="236"/>
      <c r="F475" s="221">
        <v>675000</v>
      </c>
      <c r="G475" s="221">
        <f t="shared" si="44"/>
        <v>675000</v>
      </c>
    </row>
    <row r="476" spans="1:7" ht="47.25">
      <c r="A476" s="231" t="str">
        <f>IF(B476&gt;0,VLOOKUP(B476,КВСР!A363:B1528,2),IF(C476&gt;0,VLOOKUP(C476,КФСР!A363:B1875,2),IF(D476&gt;0,VLOOKUP(D476,КЦСР!A363:B4367,2),IF(E476&gt;0,VLOOKUP(E476,КВР!A363:B2294,2)))))</f>
        <v>Осуществление первичного воинского учета на территориях, где отсутствуют военные комиссариаты</v>
      </c>
      <c r="B476" s="233"/>
      <c r="C476" s="234"/>
      <c r="D476" s="235">
        <v>13600</v>
      </c>
      <c r="E476" s="331"/>
      <c r="F476" s="221">
        <v>675000</v>
      </c>
      <c r="G476" s="221">
        <f t="shared" si="44"/>
        <v>675000</v>
      </c>
    </row>
    <row r="477" spans="1:7">
      <c r="A477" s="231" t="str">
        <f>IF(B477&gt;0,VLOOKUP(B477,КВСР!A364:B1529,2),IF(C477&gt;0,VLOOKUP(C477,КФСР!A364:B1876,2),IF(D477&gt;0,VLOOKUP(D477,КЦСР!A364:B4368,2),IF(E477&gt;0,VLOOKUP(E477,КВР!A364:B2295,2)))))</f>
        <v>Субвенции</v>
      </c>
      <c r="B477" s="233"/>
      <c r="C477" s="234"/>
      <c r="D477" s="235"/>
      <c r="E477" s="236">
        <v>530</v>
      </c>
      <c r="F477" s="221">
        <v>675000</v>
      </c>
      <c r="G477" s="221">
        <v>675000</v>
      </c>
    </row>
    <row r="478" spans="1:7" ht="31.5">
      <c r="A478" s="231" t="str">
        <f>IF(B478&gt;0,VLOOKUP(B478,КВСР!A365:B1530,2),IF(C478&gt;0,VLOOKUP(C478,КФСР!A365:B1877,2),IF(D478&gt;0,VLOOKUP(D478,КЦСР!A365:B4369,2),IF(E478&gt;0,VLOOKUP(E478,КВР!A365:B2296,2)))))</f>
        <v>Другие вопросы в области национальной экономики</v>
      </c>
      <c r="B478" s="233"/>
      <c r="C478" s="234">
        <v>412</v>
      </c>
      <c r="D478" s="235"/>
      <c r="E478" s="236"/>
      <c r="F478" s="221">
        <v>10000000</v>
      </c>
      <c r="G478" s="221">
        <f>G481+G485</f>
        <v>10000000</v>
      </c>
    </row>
    <row r="479" spans="1:7" ht="31.5">
      <c r="A479" s="231" t="str">
        <f>IF(B479&gt;0,VLOOKUP(B479,КВСР!A366:B1531,2),IF(C479&gt;0,VLOOKUP(C479,КФСР!A366:B1878,2),IF(D479&gt;0,VLOOKUP(D479,КЦСР!A366:B4370,2),IF(E479&gt;0,VLOOKUP(E479,КВР!A366:B2297,2)))))</f>
        <v>Малый бизнес и предпринимательство</v>
      </c>
      <c r="B479" s="233"/>
      <c r="C479" s="234"/>
      <c r="D479" s="235">
        <v>3450000</v>
      </c>
      <c r="E479" s="236"/>
      <c r="F479" s="221">
        <v>8000000</v>
      </c>
      <c r="G479" s="221">
        <f t="shared" si="44"/>
        <v>8000000</v>
      </c>
    </row>
    <row r="480" spans="1:7" ht="63">
      <c r="A480" s="231" t="str">
        <f>IF(B480&gt;0,VLOOKUP(B480,КВСР!A367:B1532,2),IF(C480&gt;0,VLOOKUP(C480,КФСР!A367:B1879,2),IF(D480&gt;0,VLOOKUP(D480,КЦСР!A367:B4371,2),IF(E480&gt;0,VLOOKUP(E480,КВР!A367:B2298,2)))))</f>
        <v>Субсидии на государственную поддержку малого и среднего предпринимательства, включая крестьянские (фермерские) хозяйства</v>
      </c>
      <c r="B480" s="233"/>
      <c r="C480" s="234"/>
      <c r="D480" s="235">
        <v>3450100</v>
      </c>
      <c r="E480" s="236"/>
      <c r="F480" s="221">
        <v>8000000</v>
      </c>
      <c r="G480" s="221">
        <f t="shared" si="44"/>
        <v>8000000</v>
      </c>
    </row>
    <row r="481" spans="1:7" ht="189">
      <c r="A481" s="231" t="str">
        <f>IF(B481&gt;0,VLOOKUP(B481,КВСР!A368:B1533,2),IF(C481&gt;0,VLOOKUP(C481,КФСР!A368:B1880,2),IF(D481&gt;0,VLOOKUP(D481,КЦСР!A368:B4372,2),IF(E481&gt;0,VLOOKUP(E481,КВР!A368:B2299,2)))))</f>
        <v>Субсидия на реализацию муниципальных целевых программ развития субъектов малого и среднего предпринимательства, включенных в перечень монопрофильных муниципальных районов с высокой степенью проявления кризисной ситуации в социально-экономической сфере и (или) находящихся в зоне повышенной степени риска в части средств федерального бюджета</v>
      </c>
      <c r="B481" s="233"/>
      <c r="C481" s="234"/>
      <c r="D481" s="235">
        <v>3450103</v>
      </c>
      <c r="E481" s="236"/>
      <c r="F481" s="221">
        <v>8000000</v>
      </c>
      <c r="G481" s="221">
        <f t="shared" si="44"/>
        <v>8000000</v>
      </c>
    </row>
    <row r="482" spans="1:7" ht="78.75">
      <c r="A482" s="231" t="str">
        <f>IF(B482&gt;0,VLOOKUP(B482,КВСР!A369:B1534,2),IF(C482&gt;0,VLOOKUP(C482,КФСР!A369:B1881,2),IF(D482&gt;0,VLOOKUP(D482,КЦСР!A369:B4373,2),IF(E482&gt;0,VLOOKUP(E482,КВР!A369:B2300,2)))))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482" s="233"/>
      <c r="C482" s="234"/>
      <c r="D482" s="235"/>
      <c r="E482" s="236">
        <v>521</v>
      </c>
      <c r="F482" s="221">
        <v>8000000</v>
      </c>
      <c r="G482" s="221">
        <v>8000000</v>
      </c>
    </row>
    <row r="483" spans="1:7">
      <c r="A483" s="231" t="str">
        <f>IF(B483&gt;0,VLOOKUP(B483,КВСР!A370:B1535,2),IF(C483&gt;0,VLOOKUP(C483,КФСР!A370:B1882,2),IF(D483&gt;0,VLOOKUP(D483,КЦСР!A370:B4374,2),IF(E483&gt;0,VLOOKUP(E483,КВР!A370:B2301,2)))))</f>
        <v>Региональные целевые программы</v>
      </c>
      <c r="B483" s="233"/>
      <c r="C483" s="243"/>
      <c r="D483" s="235">
        <v>5220000</v>
      </c>
      <c r="E483" s="236"/>
      <c r="F483" s="221">
        <v>2000000</v>
      </c>
      <c r="G483" s="221">
        <f t="shared" si="44"/>
        <v>2000000</v>
      </c>
    </row>
    <row r="484" spans="1:7" ht="31.5">
      <c r="A484" s="231" t="str">
        <f>IF(B484&gt;0,VLOOKUP(B484,КВСР!A371:B1536,2),IF(C484&gt;0,VLOOKUP(C484,КФСР!A371:B1883,2),IF(D484&gt;0,VLOOKUP(D484,КЦСР!A371:B4375,2),IF(E484&gt;0,VLOOKUP(E484,КВР!A371:B2302,2)))))</f>
        <v>ОЦП Развития субъектов малого и среднего предпринимательства ЯО</v>
      </c>
      <c r="B484" s="233"/>
      <c r="C484" s="234"/>
      <c r="D484" s="235">
        <v>5223100</v>
      </c>
      <c r="E484" s="236"/>
      <c r="F484" s="221">
        <v>2000000</v>
      </c>
      <c r="G484" s="221">
        <f t="shared" si="44"/>
        <v>2000000</v>
      </c>
    </row>
    <row r="485" spans="1:7" ht="78.75">
      <c r="A485" s="231" t="str">
        <f>IF(B485&gt;0,VLOOKUP(B485,КВСР!A372:B1537,2),IF(C485&gt;0,VLOOKUP(C485,КФСР!A372:B1884,2),IF(D485&gt;0,VLOOKUP(D485,КЦСР!A372:B4376,2),IF(E485&gt;0,VLOOKUP(E485,КВР!A372:B2303,2)))))</f>
        <v>ОЦП Развития субъектов малого и среднего предпринимательства ЯО в части реализации МП включенных в перечень монопрофильных муниципальных районов</v>
      </c>
      <c r="B485" s="233"/>
      <c r="C485" s="234"/>
      <c r="D485" s="235">
        <v>5223103</v>
      </c>
      <c r="E485" s="331"/>
      <c r="F485" s="221">
        <v>2000000</v>
      </c>
      <c r="G485" s="221">
        <f t="shared" si="44"/>
        <v>2000000</v>
      </c>
    </row>
    <row r="486" spans="1:7" ht="78.75">
      <c r="A486" s="231" t="str">
        <f>IF(B486&gt;0,VLOOKUP(B486,КВСР!A373:B1538,2),IF(C486&gt;0,VLOOKUP(C486,КФСР!A373:B1885,2),IF(D486&gt;0,VLOOKUP(D486,КЦСР!A373:B4377,2),IF(E486&gt;0,VLOOKUP(E486,КВР!A373:B2304,2)))))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486" s="233"/>
      <c r="C486" s="234"/>
      <c r="D486" s="235"/>
      <c r="E486" s="236">
        <v>521</v>
      </c>
      <c r="F486" s="221">
        <v>2000000</v>
      </c>
      <c r="G486" s="221">
        <v>2000000</v>
      </c>
    </row>
    <row r="487" spans="1:7" ht="47.25">
      <c r="A487" s="231" t="str">
        <f>IF(B487&gt;0,VLOOKUP(B487,КВСР!A374:B1539,2),IF(C487&gt;0,VLOOKUP(C487,КФСР!A374:B1886,2),IF(D487&gt;0,VLOOKUP(D487,КЦСР!A374:B4378,2),IF(E487&gt;0,VLOOKUP(E487,КВР!A374:B2305,2)))))</f>
        <v>Обслуживание внутреннего государственного и муниципального долга</v>
      </c>
      <c r="B487" s="233"/>
      <c r="C487" s="234">
        <v>1301</v>
      </c>
      <c r="D487" s="235"/>
      <c r="E487" s="236"/>
      <c r="F487" s="221">
        <v>1120000</v>
      </c>
      <c r="G487" s="221">
        <f t="shared" ref="G487:G489" si="45">G488</f>
        <v>1118002</v>
      </c>
    </row>
    <row r="488" spans="1:7" ht="31.5">
      <c r="A488" s="231" t="str">
        <f>IF(B488&gt;0,VLOOKUP(B488,КВСР!A375:B1540,2),IF(C488&gt;0,VLOOKUP(C488,КФСР!A375:B1887,2),IF(D488&gt;0,VLOOKUP(D488,КЦСР!A375:B4379,2),IF(E488&gt;0,VLOOKUP(E488,КВР!A375:B2306,2)))))</f>
        <v>Процентные платежи по долговым обязательствам</v>
      </c>
      <c r="B488" s="233"/>
      <c r="C488" s="243"/>
      <c r="D488" s="235">
        <v>650000</v>
      </c>
      <c r="E488" s="236"/>
      <c r="F488" s="221">
        <v>1120000</v>
      </c>
      <c r="G488" s="221">
        <f t="shared" si="45"/>
        <v>1118002</v>
      </c>
    </row>
    <row r="489" spans="1:7" ht="31.5">
      <c r="A489" s="231" t="str">
        <f>IF(B489&gt;0,VLOOKUP(B489,КВСР!A376:B1541,2),IF(C489&gt;0,VLOOKUP(C489,КФСР!A376:B1888,2),IF(D489&gt;0,VLOOKUP(D489,КЦСР!A376:B4380,2),IF(E489&gt;0,VLOOKUP(E489,КВР!A376:B2307,2)))))</f>
        <v>Процентные платежи по муниципальному долгу</v>
      </c>
      <c r="B489" s="233"/>
      <c r="C489" s="234"/>
      <c r="D489" s="235">
        <v>650300</v>
      </c>
      <c r="E489" s="331"/>
      <c r="F489" s="221">
        <v>1120000</v>
      </c>
      <c r="G489" s="221">
        <f t="shared" si="45"/>
        <v>1118002</v>
      </c>
    </row>
    <row r="490" spans="1:7" ht="31.5">
      <c r="A490" s="231" t="str">
        <f>IF(B490&gt;0,VLOOKUP(B490,КВСР!A377:B1542,2),IF(C490&gt;0,VLOOKUP(C490,КФСР!A377:B1889,2),IF(D490&gt;0,VLOOKUP(D490,КЦСР!A377:B4381,2),IF(E490&gt;0,VLOOKUP(E490,КВР!A377:B2308,2)))))</f>
        <v>Обслуживание государственного долга Российской Федерации</v>
      </c>
      <c r="B490" s="233"/>
      <c r="C490" s="234"/>
      <c r="D490" s="235"/>
      <c r="E490" s="236">
        <v>710</v>
      </c>
      <c r="F490" s="221">
        <v>1120000</v>
      </c>
      <c r="G490" s="221">
        <v>1118002</v>
      </c>
    </row>
    <row r="491" spans="1:7" ht="63">
      <c r="A491" s="231" t="str">
        <f>IF(B491&gt;0,VLOOKUP(B491,КВСР!A378:B1543,2),IF(C491&gt;0,VLOOKUP(C491,КФСР!A378:B1890,2),IF(D491&gt;0,VLOOKUP(D491,КЦСР!A378:B4382,2),IF(E491&gt;0,VLOOKUP(E491,КВР!A378:B2309,2)))))</f>
        <v>Дотации на выравнивание бюджетной обеспеченности субъектов Российской Федерации и муниципальных образований</v>
      </c>
      <c r="B491" s="233"/>
      <c r="C491" s="234">
        <v>1401</v>
      </c>
      <c r="D491" s="235"/>
      <c r="E491" s="236"/>
      <c r="F491" s="221">
        <v>3625000</v>
      </c>
      <c r="G491" s="221">
        <f t="shared" ref="G491:G494" si="46">G492</f>
        <v>3625000</v>
      </c>
    </row>
    <row r="492" spans="1:7" ht="31.5">
      <c r="A492" s="231" t="str">
        <f>IF(B492&gt;0,VLOOKUP(B492,КВСР!A379:B1544,2),IF(C492&gt;0,VLOOKUP(C492,КФСР!A379:B1891,2),IF(D492&gt;0,VLOOKUP(D492,КЦСР!A379:B4383,2),IF(E492&gt;0,VLOOKUP(E492,КВР!A379:B2310,2)))))</f>
        <v>Выравнивание бюджетной обеспеченности</v>
      </c>
      <c r="B492" s="233"/>
      <c r="C492" s="243"/>
      <c r="D492" s="235">
        <v>5160000</v>
      </c>
      <c r="E492" s="236"/>
      <c r="F492" s="221">
        <v>3625000</v>
      </c>
      <c r="G492" s="221">
        <f t="shared" si="46"/>
        <v>3625000</v>
      </c>
    </row>
    <row r="493" spans="1:7" ht="31.5">
      <c r="A493" s="231" t="str">
        <f>IF(B493&gt;0,VLOOKUP(B493,КВСР!A380:B1545,2),IF(C493&gt;0,VLOOKUP(C493,КФСР!A380:B1892,2),IF(D493&gt;0,VLOOKUP(D493,КЦСР!A380:B4384,2),IF(E493&gt;0,VLOOKUP(E493,КВР!A380:B2311,2)))))</f>
        <v>Выравнивание бюджетной обеспеченности</v>
      </c>
      <c r="B493" s="233"/>
      <c r="C493" s="234"/>
      <c r="D493" s="235">
        <v>5160100</v>
      </c>
      <c r="E493" s="236"/>
      <c r="F493" s="221">
        <v>3625000</v>
      </c>
      <c r="G493" s="221">
        <f t="shared" si="46"/>
        <v>3625000</v>
      </c>
    </row>
    <row r="494" spans="1:7" ht="50.25" customHeight="1">
      <c r="A494" s="231" t="str">
        <f>IF(B494&gt;0,VLOOKUP(B494,КВСР!A381:B1546,2),IF(C494&gt;0,VLOOKUP(C494,КФСР!A381:B1893,2),IF(D494&gt;0,VLOOKUP(D494,КЦСР!A381:B4385,2),IF(E494&gt;0,VLOOKUP(E494,КВР!A381:B2312,2)))))</f>
        <v xml:space="preserve">Выравнивание бюджетной обеспеченности поселений из районного фонда финансовой поддержки </v>
      </c>
      <c r="B494" s="233"/>
      <c r="C494" s="234"/>
      <c r="D494" s="235">
        <v>5160130</v>
      </c>
      <c r="E494" s="331"/>
      <c r="F494" s="221">
        <v>3625000</v>
      </c>
      <c r="G494" s="221">
        <f t="shared" si="46"/>
        <v>3625000</v>
      </c>
    </row>
    <row r="495" spans="1:7" ht="47.25">
      <c r="A495" s="231" t="str">
        <f>IF(B495&gt;0,VLOOKUP(B495,КВСР!A382:B1547,2),IF(C495&gt;0,VLOOKUP(C495,КФСР!A382:B1894,2),IF(D495&gt;0,VLOOKUP(D495,КЦСР!A382:B4386,2),IF(E495&gt;0,VLOOKUP(E495,КВР!A382:B2313,2)))))</f>
        <v>Дотации на выравнивание бюджетной обеспеченности субъектов Российской Федерации</v>
      </c>
      <c r="B495" s="233"/>
      <c r="C495" s="234"/>
      <c r="D495" s="235"/>
      <c r="E495" s="236">
        <v>511</v>
      </c>
      <c r="F495" s="221">
        <v>3625000</v>
      </c>
      <c r="G495" s="221">
        <v>3625000</v>
      </c>
    </row>
    <row r="496" spans="1:7">
      <c r="A496" s="231" t="str">
        <f>IF(B496&gt;0,VLOOKUP(B496,КВСР!A383:B1548,2),IF(C496&gt;0,VLOOKUP(C496,КФСР!A383:B1895,2),IF(D496&gt;0,VLOOKUP(D496,КЦСР!A383:B4387,2),IF(E496&gt;0,VLOOKUP(E496,КВР!A383:B2314,2)))))</f>
        <v>Иные дотации</v>
      </c>
      <c r="B496" s="233"/>
      <c r="C496" s="234">
        <v>1402</v>
      </c>
      <c r="D496" s="235"/>
      <c r="E496" s="236"/>
      <c r="F496" s="221">
        <v>1040000</v>
      </c>
      <c r="G496" s="221">
        <f t="shared" ref="G496:G499" si="47">G497</f>
        <v>1040000</v>
      </c>
    </row>
    <row r="497" spans="1:7">
      <c r="A497" s="231" t="str">
        <f>IF(B497&gt;0,VLOOKUP(B497,КВСР!A384:B1549,2),IF(C497&gt;0,VLOOKUP(C497,КФСР!A384:B1896,2),IF(D497&gt;0,VLOOKUP(D497,КЦСР!A384:B4388,2),IF(E497&gt;0,VLOOKUP(E497,КВР!A384:B2315,2)))))</f>
        <v>Дотации</v>
      </c>
      <c r="B497" s="233"/>
      <c r="C497" s="243"/>
      <c r="D497" s="235">
        <v>5170000</v>
      </c>
      <c r="E497" s="236"/>
      <c r="F497" s="221">
        <v>1040000</v>
      </c>
      <c r="G497" s="221">
        <f t="shared" si="47"/>
        <v>1040000</v>
      </c>
    </row>
    <row r="498" spans="1:7" ht="31.5">
      <c r="A498" s="231" t="str">
        <f>IF(B498&gt;0,VLOOKUP(B498,КВСР!A385:B1550,2),IF(C498&gt;0,VLOOKUP(C498,КФСР!A385:B1897,2),IF(D498&gt;0,VLOOKUP(D498,КЦСР!A385:B4389,2),IF(E498&gt;0,VLOOKUP(E498,КВР!A385:B2316,2)))))</f>
        <v>Поддержка мер по обеспечению сбалансированности бюджетов</v>
      </c>
      <c r="B498" s="233"/>
      <c r="C498" s="234"/>
      <c r="D498" s="235">
        <v>5170200</v>
      </c>
      <c r="E498" s="236"/>
      <c r="F498" s="221">
        <v>1040000</v>
      </c>
      <c r="G498" s="221">
        <f t="shared" si="47"/>
        <v>1040000</v>
      </c>
    </row>
    <row r="499" spans="1:7" ht="31.5">
      <c r="A499" s="231" t="str">
        <f>IF(B499&gt;0,VLOOKUP(B499,КВСР!A386:B1551,2),IF(C499&gt;0,VLOOKUP(C499,КФСР!A386:B1898,2),IF(D499&gt;0,VLOOKUP(D499,КЦСР!A386:B4390,2),IF(E499&gt;0,VLOOKUP(E499,КВР!A386:B2317,2)))))</f>
        <v>Дотация на сбалансированность бюджетов поселений</v>
      </c>
      <c r="B499" s="233"/>
      <c r="C499" s="234"/>
      <c r="D499" s="235">
        <v>5170230</v>
      </c>
      <c r="E499" s="331"/>
      <c r="F499" s="221">
        <v>1040000</v>
      </c>
      <c r="G499" s="221">
        <f t="shared" si="47"/>
        <v>1040000</v>
      </c>
    </row>
    <row r="500" spans="1:7">
      <c r="A500" s="231" t="str">
        <f>IF(B500&gt;0,VLOOKUP(B500,КВСР!A387:B1552,2),IF(C500&gt;0,VLOOKUP(C500,КФСР!A387:B1899,2),IF(D500&gt;0,VLOOKUP(D500,КЦСР!A387:B4391,2),IF(E500&gt;0,VLOOKUP(E500,КВР!A387:B2318,2)))))</f>
        <v>Иные дотации</v>
      </c>
      <c r="B500" s="233"/>
      <c r="C500" s="234"/>
      <c r="D500" s="235"/>
      <c r="E500" s="236">
        <v>515</v>
      </c>
      <c r="F500" s="221">
        <v>1040000</v>
      </c>
      <c r="G500" s="221">
        <v>1040000</v>
      </c>
    </row>
    <row r="501" spans="1:7" ht="66" customHeight="1">
      <c r="A501" s="231" t="str">
        <f>IF(B501&gt;0,VLOOKUP(B501,КВСР!A388:B1553,2),IF(C501&gt;0,VLOOKUP(C501,КФСР!A388:B1900,2),IF(D501&gt;0,VLOOKUP(D501,КЦСР!A388:B4392,2),IF(E501&gt;0,VLOOKUP(E501,КВР!A388:B2319,2)))))</f>
        <v>Прочие межбюджетные трансферты бюджетам субъектов Российской Федерации и муниципальных образований общего характера</v>
      </c>
      <c r="B501" s="233"/>
      <c r="C501" s="234">
        <v>1403</v>
      </c>
      <c r="D501" s="235"/>
      <c r="E501" s="236"/>
      <c r="F501" s="221">
        <v>347875</v>
      </c>
      <c r="G501" s="221">
        <f t="shared" ref="G501:G503" si="48">G502</f>
        <v>347875</v>
      </c>
    </row>
    <row r="502" spans="1:7">
      <c r="A502" s="231" t="str">
        <f>IF(B502&gt;0,VLOOKUP(B502,КВСР!A389:B1554,2),IF(C502&gt;0,VLOOKUP(C502,КФСР!A389:B1901,2),IF(D502&gt;0,VLOOKUP(D502,КЦСР!A389:B4393,2),IF(E502&gt;0,VLOOKUP(E502,КВР!A389:B2320,2)))))</f>
        <v>Резервные фонды</v>
      </c>
      <c r="B502" s="233"/>
      <c r="C502" s="243"/>
      <c r="D502" s="235">
        <v>700000</v>
      </c>
      <c r="E502" s="236"/>
      <c r="F502" s="221">
        <v>347875</v>
      </c>
      <c r="G502" s="221">
        <f t="shared" si="48"/>
        <v>347875</v>
      </c>
    </row>
    <row r="503" spans="1:7" ht="52.5" customHeight="1">
      <c r="A503" s="231" t="str">
        <f>IF(B503&gt;0,VLOOKUP(B503,КВСР!A390:B1555,2),IF(C503&gt;0,VLOOKUP(C503,КФСР!A390:B1902,2),IF(D503&gt;0,VLOOKUP(D503,КЦСР!A390:B4394,2),IF(E503&gt;0,VLOOKUP(E503,КВР!A390:B2321,2)))))</f>
        <v>Резервный фонд исполнительных органов государственной власти субъектов Российской Федерации</v>
      </c>
      <c r="B503" s="233"/>
      <c r="C503" s="234"/>
      <c r="D503" s="235">
        <v>700400</v>
      </c>
      <c r="E503" s="331"/>
      <c r="F503" s="221">
        <v>347875</v>
      </c>
      <c r="G503" s="221">
        <f t="shared" si="48"/>
        <v>347875</v>
      </c>
    </row>
    <row r="504" spans="1:7">
      <c r="A504" s="231" t="str">
        <f>IF(B504&gt;0,VLOOKUP(B504,КВСР!A391:B1556,2),IF(C504&gt;0,VLOOKUP(C504,КФСР!A391:B1903,2),IF(D504&gt;0,VLOOKUP(D504,КЦСР!A391:B4395,2),IF(E504&gt;0,VLOOKUP(E504,КВР!A391:B2322,2)))))</f>
        <v xml:space="preserve">Иные межбюджетные трансферты </v>
      </c>
      <c r="B504" s="233"/>
      <c r="C504" s="234"/>
      <c r="D504" s="235"/>
      <c r="E504" s="236">
        <v>540</v>
      </c>
      <c r="F504" s="221">
        <v>347875</v>
      </c>
      <c r="G504" s="221">
        <v>347875</v>
      </c>
    </row>
    <row r="505" spans="1:7" ht="47.25">
      <c r="A505" s="226" t="str">
        <f>IF(B505&gt;0,VLOOKUP(B505,КВСР!A307:B1472,2),IF(#REF!&gt;0,VLOOKUP(#REF!,КФСР!A307:B1819,2),IF(D505&gt;0,VLOOKUP(D505,КЦСР!A307:B4311,2),IF(#REF!&gt;0,VLOOKUP(#REF!,КВР!A307:B2238,2)))))</f>
        <v>Департамент культуры, туризма и молодежной политики Администрации ТМР</v>
      </c>
      <c r="B505" s="227">
        <v>956</v>
      </c>
      <c r="C505" s="234"/>
      <c r="D505" s="229"/>
      <c r="E505" s="230"/>
      <c r="F505" s="222">
        <v>134988951</v>
      </c>
      <c r="G505" s="222">
        <f>G506+G510+G515+G520+G528+G558+G563+G596+G622+G627</f>
        <v>133960633</v>
      </c>
    </row>
    <row r="506" spans="1:7">
      <c r="A506" s="231" t="str">
        <f>IF(B506&gt;0,VLOOKUP(B506,КВСР!A306:B1471,2),IF(C506&gt;0,VLOOKUP(C506,КФСР!A306:B1818,2),IF(D506&gt;0,VLOOKUP(D506,КЦСР!A306:B4310,2),IF(E506&gt;0,VLOOKUP(E506,КВР!A306:B2237,2)))))</f>
        <v>Резервные фонды</v>
      </c>
      <c r="B506" s="232"/>
      <c r="C506" s="228">
        <v>111</v>
      </c>
      <c r="D506" s="229"/>
      <c r="E506" s="230"/>
      <c r="F506" s="221">
        <v>504297</v>
      </c>
      <c r="G506" s="221">
        <f t="shared" ref="G506:G508" si="49">G507</f>
        <v>570078</v>
      </c>
    </row>
    <row r="507" spans="1:7">
      <c r="A507" s="231" t="str">
        <f>IF(B507&gt;0,VLOOKUP(B507,КВСР!A307:B1472,2),IF(C507&gt;0,VLOOKUP(C507,КФСР!A307:B1819,2),IF(D507&gt;0,VLOOKUP(D507,КЦСР!A307:B4311,2),IF(E507&gt;0,VLOOKUP(E507,КВР!A307:B2238,2)))))</f>
        <v>Резервные фонды</v>
      </c>
      <c r="B507" s="232"/>
      <c r="C507" s="243"/>
      <c r="D507" s="229">
        <v>700000</v>
      </c>
      <c r="E507" s="230"/>
      <c r="F507" s="221">
        <v>504297</v>
      </c>
      <c r="G507" s="221">
        <f t="shared" si="49"/>
        <v>570078</v>
      </c>
    </row>
    <row r="508" spans="1:7" ht="31.5">
      <c r="A508" s="231" t="str">
        <f>IF(B508&gt;0,VLOOKUP(B508,КВСР!A308:B1473,2),IF(C508&gt;0,VLOOKUP(C508,КФСР!A308:B1820,2),IF(D508&gt;0,VLOOKUP(D508,КЦСР!A308:B4312,2),IF(E508&gt;0,VLOOKUP(E508,КВР!A308:B2239,2)))))</f>
        <v>Резервные фонды местных администраций</v>
      </c>
      <c r="B508" s="232"/>
      <c r="C508" s="228"/>
      <c r="D508" s="229">
        <v>700500</v>
      </c>
      <c r="E508" s="331"/>
      <c r="F508" s="221">
        <v>504297</v>
      </c>
      <c r="G508" s="221">
        <f t="shared" si="49"/>
        <v>570078</v>
      </c>
    </row>
    <row r="509" spans="1:7" ht="31.5">
      <c r="A509" s="231" t="str">
        <f>IF(B509&gt;0,VLOOKUP(B509,КВСР!A309:B1474,2),IF(C509&gt;0,VLOOKUP(C509,КФСР!A309:B1821,2),IF(D509&gt;0,VLOOKUP(D509,КЦСР!A309:B4313,2),IF(E509&gt;0,VLOOKUP(E509,КВР!A309:B2240,2)))))</f>
        <v>Субсидии бюджетным учреждениям на иные цели</v>
      </c>
      <c r="B509" s="232"/>
      <c r="C509" s="228"/>
      <c r="D509" s="229"/>
      <c r="E509" s="230">
        <v>612</v>
      </c>
      <c r="F509" s="221">
        <v>504297</v>
      </c>
      <c r="G509" s="221">
        <v>570078</v>
      </c>
    </row>
    <row r="510" spans="1:7" ht="31.5">
      <c r="A510" s="231" t="str">
        <f>IF(B510&gt;0,VLOOKUP(B510,КВСР!A310:B1475,2),IF(C510&gt;0,VLOOKUP(C510,КФСР!A310:B1822,2),IF(D510&gt;0,VLOOKUP(D510,КЦСР!A310:B4314,2),IF(E510&gt;0,VLOOKUP(E510,КВР!A310:B2241,2)))))</f>
        <v>Другие общегосударственные вопросы</v>
      </c>
      <c r="B510" s="232"/>
      <c r="C510" s="228">
        <v>113</v>
      </c>
      <c r="D510" s="229"/>
      <c r="E510" s="230"/>
      <c r="F510" s="221">
        <v>50527</v>
      </c>
      <c r="G510" s="221">
        <f t="shared" ref="G510:G513" si="50">G511</f>
        <v>50527</v>
      </c>
    </row>
    <row r="511" spans="1:7">
      <c r="A511" s="231" t="str">
        <f>IF(B511&gt;0,VLOOKUP(B511,КВСР!A311:B1476,2),IF(C511&gt;0,VLOOKUP(C511,КФСР!A311:B1823,2),IF(D511&gt;0,VLOOKUP(D511,КЦСР!A311:B4315,2),IF(E511&gt;0,VLOOKUP(E511,КВР!A311:B2242,2)))))</f>
        <v>Региональные целевые программы</v>
      </c>
      <c r="B511" s="232"/>
      <c r="C511" s="243"/>
      <c r="D511" s="229">
        <v>5220000</v>
      </c>
      <c r="E511" s="230"/>
      <c r="F511" s="221">
        <v>50527</v>
      </c>
      <c r="G511" s="221">
        <f t="shared" si="50"/>
        <v>50527</v>
      </c>
    </row>
    <row r="512" spans="1:7" ht="63">
      <c r="A512" s="231" t="str">
        <f>IF(B512&gt;0,VLOOKUP(B512,КВСР!A312:B1477,2),IF(C512&gt;0,VLOOKUP(C512,КФСР!A312:B1824,2),IF(D512&gt;0,VLOOKUP(D512,КЦСР!A312:B4316,2),IF(E512&gt;0,VLOOKUP(E512,КВР!A312:B2243,2)))))</f>
        <v>Областная целевая программа "Развитие правовой грамотности и правосознания граждан на территории Ярославской области"</v>
      </c>
      <c r="B512" s="232"/>
      <c r="C512" s="228"/>
      <c r="D512" s="229">
        <v>5228400</v>
      </c>
      <c r="E512" s="230"/>
      <c r="F512" s="221">
        <v>50527</v>
      </c>
      <c r="G512" s="221">
        <f t="shared" si="50"/>
        <v>50527</v>
      </c>
    </row>
    <row r="513" spans="1:7" ht="47.25">
      <c r="A513" s="231" t="str">
        <f>IF(B513&gt;0,VLOOKUP(B513,КВСР!A313:B1478,2),IF(C513&gt;0,VLOOKUP(C513,КФСР!A313:B1825,2),IF(D513&gt;0,VLOOKUP(D513,КЦСР!A313:B4317,2),IF(E513&gt;0,VLOOKUP(E513,КВР!A313:B2244,2)))))</f>
        <v>ОЦП "Обеспечение муниципальных районов документацией территориального планирования"</v>
      </c>
      <c r="B513" s="232"/>
      <c r="C513" s="228"/>
      <c r="D513" s="229">
        <v>5228402</v>
      </c>
      <c r="E513" s="331"/>
      <c r="F513" s="221">
        <v>50527</v>
      </c>
      <c r="G513" s="221">
        <f t="shared" si="50"/>
        <v>50527</v>
      </c>
    </row>
    <row r="514" spans="1:7" ht="31.5">
      <c r="A514" s="231" t="str">
        <f>IF(B514&gt;0,VLOOKUP(B514,КВСР!A314:B1479,2),IF(C514&gt;0,VLOOKUP(C514,КФСР!A314:B1826,2),IF(D514&gt;0,VLOOKUP(D514,КЦСР!A314:B4318,2),IF(E514&gt;0,VLOOKUP(E514,КВР!A314:B2245,2)))))</f>
        <v>Субсидии бюджетным учреждениям на иные цели</v>
      </c>
      <c r="B514" s="232"/>
      <c r="C514" s="228"/>
      <c r="D514" s="229"/>
      <c r="E514" s="230">
        <v>612</v>
      </c>
      <c r="F514" s="221">
        <v>50527</v>
      </c>
      <c r="G514" s="221">
        <v>50527</v>
      </c>
    </row>
    <row r="515" spans="1:7" ht="31.5">
      <c r="A515" s="231" t="str">
        <f>IF(B515&gt;0,VLOOKUP(B515,КВСР!A315:B1480,2),IF(C515&gt;0,VLOOKUP(C515,КФСР!A315:B1827,2),IF(D515&gt;0,VLOOKUP(D515,КЦСР!A315:B4319,2),IF(E515&gt;0,VLOOKUP(E515,КВР!A315:B2246,2)))))</f>
        <v>Другие вопросы в области национальной экономики</v>
      </c>
      <c r="B515" s="227"/>
      <c r="C515" s="228">
        <v>412</v>
      </c>
      <c r="D515" s="229"/>
      <c r="E515" s="230"/>
      <c r="F515" s="221">
        <v>480000</v>
      </c>
      <c r="G515" s="221">
        <f t="shared" ref="G515:G518" si="51">G516</f>
        <v>480000</v>
      </c>
    </row>
    <row r="516" spans="1:7">
      <c r="A516" s="231" t="str">
        <f>IF(B516&gt;0,VLOOKUP(B516,КВСР!A316:B1481,2),IF(C516&gt;0,VLOOKUP(C516,КФСР!A316:B1828,2),IF(D516&gt;0,VLOOKUP(D516,КЦСР!A316:B4320,2),IF(E516&gt;0,VLOOKUP(E516,КВР!A316:B2247,2)))))</f>
        <v>Региональные целевые программы</v>
      </c>
      <c r="B516" s="227"/>
      <c r="C516" s="243"/>
      <c r="D516" s="229">
        <v>5220000</v>
      </c>
      <c r="E516" s="230"/>
      <c r="F516" s="221">
        <v>480000</v>
      </c>
      <c r="G516" s="221">
        <f t="shared" si="51"/>
        <v>480000</v>
      </c>
    </row>
    <row r="517" spans="1:7" ht="31.5">
      <c r="A517" s="231" t="str">
        <f>IF(B517&gt;0,VLOOKUP(B517,КВСР!A317:B1482,2),IF(C517&gt;0,VLOOKUP(C517,КФСР!A317:B1829,2),IF(D517&gt;0,VLOOKUP(D517,КЦСР!A317:B4321,2),IF(E517&gt;0,VLOOKUP(E517,КВР!A317:B2248,2)))))</f>
        <v>ОЦП "Развитие туризма и отдыха в Ярославской области"</v>
      </c>
      <c r="B517" s="227"/>
      <c r="C517" s="228"/>
      <c r="D517" s="229">
        <v>5221400</v>
      </c>
      <c r="E517" s="230"/>
      <c r="F517" s="221">
        <v>480000</v>
      </c>
      <c r="G517" s="221">
        <f t="shared" si="51"/>
        <v>480000</v>
      </c>
    </row>
    <row r="518" spans="1:7" ht="47.25">
      <c r="A518" s="231" t="str">
        <f>IF(B518&gt;0,VLOOKUP(B518,КВСР!A318:B1483,2),IF(C518&gt;0,VLOOKUP(C518,КФСР!A318:B1830,2),IF(D518&gt;0,VLOOKUP(D518,КЦСР!A318:B4322,2),IF(E518&gt;0,VLOOKUP(E518,КВР!A318:B2249,2)))))</f>
        <v>Субсидия на реализацию муниципальных программ  развития туризма и отдыха</v>
      </c>
      <c r="B518" s="227"/>
      <c r="C518" s="228"/>
      <c r="D518" s="229">
        <v>5221401</v>
      </c>
      <c r="E518" s="331"/>
      <c r="F518" s="221">
        <v>480000</v>
      </c>
      <c r="G518" s="221">
        <f t="shared" si="51"/>
        <v>480000</v>
      </c>
    </row>
    <row r="519" spans="1:7" ht="78.75">
      <c r="A519" s="231" t="str">
        <f>IF(B519&gt;0,VLOOKUP(B519,КВСР!A317:B1482,2),IF(C519&gt;0,VLOOKUP(C519,КФСР!A317:B1829,2),IF(D519&gt;0,VLOOKUP(D519,КЦСР!A317:B4321,2),IF(E519&gt;0,VLOOKUP(E519,КВР!A317:B2248,2)))))</f>
        <v>Субсидии бюджетным учреждениям на финансовое обеспечение государственного задания на оказание государственных услуг (выполнение работ)</v>
      </c>
      <c r="B519" s="227"/>
      <c r="C519" s="228"/>
      <c r="D519" s="229"/>
      <c r="E519" s="230">
        <v>611</v>
      </c>
      <c r="F519" s="221">
        <v>480000</v>
      </c>
      <c r="G519" s="221">
        <v>480000</v>
      </c>
    </row>
    <row r="520" spans="1:7" s="21" customFormat="1">
      <c r="A520" s="231" t="str">
        <f>IF(B520&gt;0,VLOOKUP(B520,КВСР!A318:B1483,2),IF(C520&gt;0,VLOOKUP(C520,КФСР!A318:B1830,2),IF(D520&gt;0,VLOOKUP(D520,КЦСР!A318:B4322,2),IF(#REF!&gt;0,VLOOKUP(#REF!,КВР!A318:B2249,2)))))</f>
        <v>Общее образование</v>
      </c>
      <c r="B520" s="233"/>
      <c r="C520" s="234">
        <v>702</v>
      </c>
      <c r="D520" s="235"/>
      <c r="E520" s="236"/>
      <c r="F520" s="221">
        <v>24377421</v>
      </c>
      <c r="G520" s="221">
        <f>G522+G526</f>
        <v>24377421</v>
      </c>
    </row>
    <row r="521" spans="1:7" s="21" customFormat="1" ht="31.5">
      <c r="A521" s="231" t="str">
        <f>IF(B521&gt;0,VLOOKUP(B521,КВСР!A319:B1484,2),IF(C522&gt;0,VLOOKUP(C522,КФСР!A319:B1831,2),IF(D521&gt;0,VLOOKUP(D521,КЦСР!A319:B4323,2),IF(E520&gt;0,VLOOKUP(E520,КВР!A319:B2250,2)))))</f>
        <v>Учреждения по внешкольной работе с детьми</v>
      </c>
      <c r="B521" s="233"/>
      <c r="C521" s="245"/>
      <c r="D521" s="237">
        <v>4230000</v>
      </c>
      <c r="E521" s="236"/>
      <c r="F521" s="221">
        <v>24281000</v>
      </c>
      <c r="G521" s="221">
        <f t="shared" ref="G521:G522" si="52">G522</f>
        <v>24281000</v>
      </c>
    </row>
    <row r="522" spans="1:7" s="21" customFormat="1" ht="31.5">
      <c r="A522" s="231" t="str">
        <f>IF(B522&gt;0,VLOOKUP(B522,КВСР!A320:B1485,2),IF(C523&gt;0,VLOOKUP(C523,КФСР!A320:B1832,2),IF(D522&gt;0,VLOOKUP(D522,КЦСР!A320:B4324,2),IF(E521&gt;0,VLOOKUP(E521,КВР!A320:B2251,2)))))</f>
        <v>Обеспечение деятельности подведомственных учреждений</v>
      </c>
      <c r="B522" s="233"/>
      <c r="C522" s="234"/>
      <c r="D522" s="235">
        <v>4239900</v>
      </c>
      <c r="E522" s="265"/>
      <c r="F522" s="221">
        <v>24281000</v>
      </c>
      <c r="G522" s="221">
        <f t="shared" si="52"/>
        <v>24281000</v>
      </c>
    </row>
    <row r="523" spans="1:7" s="21" customFormat="1" ht="78.75">
      <c r="A523" s="231" t="str">
        <f>IF(B523&gt;0,VLOOKUP(B523,КВСР!A321:B1486,2),IF(C524&gt;0,VLOOKUP(C524,КФСР!A321:B1833,2),IF(D523&gt;0,VLOOKUP(D523,КЦСР!A321:B4325,2),IF(E523&gt;0,VLOOKUP(E523,КВР!A321:B2252,2)))))</f>
        <v>Субсидии бюджетным учреждениям на финансовое обеспечение государственного задания на оказание государственных услуг (выполнение работ)</v>
      </c>
      <c r="B523" s="233"/>
      <c r="C523" s="234"/>
      <c r="D523" s="235"/>
      <c r="E523" s="236">
        <v>611</v>
      </c>
      <c r="F523" s="221">
        <v>24281000</v>
      </c>
      <c r="G523" s="221">
        <v>24281000</v>
      </c>
    </row>
    <row r="524" spans="1:7" s="21" customFormat="1">
      <c r="A524" s="231" t="str">
        <f>IF(B524&gt;0,VLOOKUP(B524,КВСР!A322:B1487,2),IF(C525&gt;0,VLOOKUP(C525,КФСР!A322:B1834,2),IF(D524&gt;0,VLOOKUP(D524,КЦСР!A322:B4326,2),IF(#REF!&gt;0,VLOOKUP(#REF!,КВР!A322:B2253,2)))))</f>
        <v>Региональные целевые программы</v>
      </c>
      <c r="B524" s="233"/>
      <c r="C524" s="234"/>
      <c r="D524" s="235">
        <v>5220000</v>
      </c>
      <c r="E524" s="236"/>
      <c r="F524" s="221">
        <v>96421</v>
      </c>
      <c r="G524" s="221">
        <f t="shared" ref="G524:G526" si="53">G525</f>
        <v>96421</v>
      </c>
    </row>
    <row r="525" spans="1:7" s="21" customFormat="1" ht="31.5">
      <c r="A525" s="231" t="str">
        <f>IF(B525&gt;0,VLOOKUP(B525,КВСР!A323:B1488,2),IF(C526&gt;0,VLOOKUP(C526,КФСР!A323:B1835,2),IF(D525&gt;0,VLOOKUP(D525,КЦСР!A323:B4327,2),IF(E524&gt;0,VLOOKUP(E524,КВР!A323:B2254,2)))))</f>
        <v>Областная целевая программа "Доступная среда"</v>
      </c>
      <c r="B525" s="233"/>
      <c r="C525" s="234"/>
      <c r="D525" s="235">
        <v>5227200</v>
      </c>
      <c r="E525" s="236"/>
      <c r="F525" s="221">
        <v>96421</v>
      </c>
      <c r="G525" s="221">
        <f t="shared" si="53"/>
        <v>96421</v>
      </c>
    </row>
    <row r="526" spans="1:7" s="21" customFormat="1" ht="47.25">
      <c r="A526" s="231" t="str">
        <f>IF(B526&gt;0,VLOOKUP(B526,КВСР!A324:B1489,2),IF(C527&gt;0,VLOOKUP(C527,КФСР!A324:B1836,2),IF(D526&gt;0,VLOOKUP(D526,КЦСР!A324:B4328,2),IF(E525&gt;0,VLOOKUP(E525,КВР!A324:B2255,2)))))</f>
        <v>Реализацию областной целевой программы "Доступная среда" в сфере культуры</v>
      </c>
      <c r="B526" s="233"/>
      <c r="C526" s="234"/>
      <c r="D526" s="235">
        <v>5227211</v>
      </c>
      <c r="E526" s="265"/>
      <c r="F526" s="221">
        <v>96421</v>
      </c>
      <c r="G526" s="221">
        <f t="shared" si="53"/>
        <v>96421</v>
      </c>
    </row>
    <row r="527" spans="1:7" s="21" customFormat="1" ht="31.5">
      <c r="A527" s="231" t="str">
        <f>IF(B527&gt;0,VLOOKUP(B527,КВСР!A321:B1486,2),IF(C527&gt;0,VLOOKUP(C527,КФСР!A321:B1833,2),IF(D527&gt;0,VLOOKUP(D527,КЦСР!A321:B4325,2),IF(E527&gt;0,VLOOKUP(E527,КВР!A321:B2252,2)))))</f>
        <v>Субсидии бюджетным учреждениям на иные цели</v>
      </c>
      <c r="B527" s="233"/>
      <c r="C527" s="234"/>
      <c r="D527" s="235"/>
      <c r="E527" s="236">
        <v>612</v>
      </c>
      <c r="F527" s="221">
        <v>96421</v>
      </c>
      <c r="G527" s="221">
        <v>96421</v>
      </c>
    </row>
    <row r="528" spans="1:7" s="21" customFormat="1" ht="31.5">
      <c r="A528" s="231" t="str">
        <f>IF(B528&gt;0,VLOOKUP(B528,КВСР!A322:B1487,2),IF(C528&gt;0,VLOOKUP(C528,КФСР!A322:B1834,2),IF(D528&gt;0,VLOOKUP(D528,КЦСР!A322:B4326,2),IF(#REF!&gt;0,VLOOKUP(#REF!,КВР!A322:B2253,2)))))</f>
        <v>Молодежная политика и оздоровление детей</v>
      </c>
      <c r="B528" s="233"/>
      <c r="C528" s="234">
        <v>707</v>
      </c>
      <c r="D528" s="235"/>
      <c r="E528" s="236"/>
      <c r="F528" s="221">
        <v>16377879</v>
      </c>
      <c r="G528" s="221">
        <f>G530+G534+G536+G538+G543+G545+G548+G551+G553+G556</f>
        <v>16342368</v>
      </c>
    </row>
    <row r="529" spans="1:7" s="21" customFormat="1">
      <c r="A529" s="231" t="str">
        <f>IF(B529&gt;0,VLOOKUP(B529,КВСР!A323:B1488,2),IF(C529&gt;0,VLOOKUP(C529,КФСР!A323:B1835,2),IF(D529&gt;0,VLOOKUP(D529,КЦСР!A323:B4327,2),IF(E528&gt;0,VLOOKUP(E528,КВР!A323:B2254,2)))))</f>
        <v>Резервные фонды</v>
      </c>
      <c r="B529" s="233"/>
      <c r="C529" s="234"/>
      <c r="D529" s="235">
        <v>700000</v>
      </c>
      <c r="E529" s="236"/>
      <c r="F529" s="221">
        <v>200000</v>
      </c>
      <c r="G529" s="221">
        <f t="shared" ref="G529:G530" si="54">G530</f>
        <v>200000</v>
      </c>
    </row>
    <row r="530" spans="1:7" s="21" customFormat="1" ht="47.25">
      <c r="A530" s="231" t="str">
        <f>IF(B530&gt;0,VLOOKUP(B530,КВСР!A324:B1489,2),IF(C530&gt;0,VLOOKUP(C530,КФСР!A324:B1836,2),IF(D530&gt;0,VLOOKUP(D530,КЦСР!A324:B4328,2),IF(E529&gt;0,VLOOKUP(E529,КВР!A324:B2255,2)))))</f>
        <v>Резервный фонд исполнительных органов государственной власти субъектов Российской Федерации</v>
      </c>
      <c r="B530" s="233"/>
      <c r="C530" s="234"/>
      <c r="D530" s="235">
        <v>700400</v>
      </c>
      <c r="E530" s="265"/>
      <c r="F530" s="221">
        <v>200000</v>
      </c>
      <c r="G530" s="221">
        <f t="shared" si="54"/>
        <v>200000</v>
      </c>
    </row>
    <row r="531" spans="1:7" s="21" customFormat="1" ht="31.5">
      <c r="A531" s="231" t="str">
        <f>IF(B531&gt;0,VLOOKUP(B531,КВСР!A325:B1490,2),IF(C531&gt;0,VLOOKUP(C531,КФСР!A325:B1837,2),IF(D531&gt;0,VLOOKUP(D531,КЦСР!A325:B4329,2),IF(E531&gt;0,VLOOKUP(E531,КВР!A325:B2256,2)))))</f>
        <v>Субсидии бюджетным учреждениям на иные цели</v>
      </c>
      <c r="B531" s="233"/>
      <c r="C531" s="234"/>
      <c r="D531" s="235"/>
      <c r="E531" s="236">
        <v>612</v>
      </c>
      <c r="F531" s="221">
        <v>200000</v>
      </c>
      <c r="G531" s="221">
        <v>200000</v>
      </c>
    </row>
    <row r="532" spans="1:7" s="21" customFormat="1" ht="31.5">
      <c r="A532" s="231" t="str">
        <f>IF(B532&gt;0,VLOOKUP(B532,КВСР!A323:B1488,2),IF(C533&gt;0,VLOOKUP(C533,КФСР!A323:B1835,2),IF(D532&gt;0,VLOOKUP(D532,КЦСР!A323:B4327,2),IF(#REF!&gt;0,VLOOKUP(#REF!,КВР!A323:B2254,2)))))</f>
        <v>Организационно-воспитательная работа с молодежью</v>
      </c>
      <c r="B532" s="233"/>
      <c r="C532" s="245"/>
      <c r="D532" s="235">
        <v>4310000</v>
      </c>
      <c r="E532" s="236"/>
      <c r="F532" s="221">
        <v>13971383</v>
      </c>
      <c r="G532" s="221">
        <f>G533+G538</f>
        <v>13935872</v>
      </c>
    </row>
    <row r="533" spans="1:7" s="21" customFormat="1" ht="30.75" customHeight="1">
      <c r="A533" s="231" t="str">
        <f>IF(B533&gt;0,VLOOKUP(B533,КВСР!A324:B1489,2),IF(C534&gt;0,VLOOKUP(C534,КФСР!A324:B1836,2),IF(D533&gt;0,VLOOKUP(D533,КЦСР!A324:B4328,2),IF(E532&gt;0,VLOOKUP(E532,КВР!A324:B2255,2)))))</f>
        <v>Проведение мероприятий для детей и молодежи</v>
      </c>
      <c r="B533" s="233"/>
      <c r="C533" s="234"/>
      <c r="D533" s="235">
        <v>4310100</v>
      </c>
      <c r="E533" s="236"/>
      <c r="F533" s="221">
        <v>8926668</v>
      </c>
      <c r="G533" s="221">
        <f>G534+G536</f>
        <v>8891157</v>
      </c>
    </row>
    <row r="534" spans="1:7" s="21" customFormat="1" ht="47.25" hidden="1">
      <c r="A534" s="231" t="str">
        <f>IF(B534&gt;0,VLOOKUP(B534,КВСР!A325:B1490,2),IF(C535&gt;0,VLOOKUP(C535,КФСР!A325:B1837,2),IF(D534&gt;0,VLOOKUP(D534,КЦСР!A325:B4329,2),IF(E533&gt;0,VLOOKUP(E533,КВР!A325:B2256,2)))))</f>
        <v>Расходы на реализацию мероприятий по патриотическому воспитанию молодежи ЯО</v>
      </c>
      <c r="B534" s="233"/>
      <c r="C534" s="234"/>
      <c r="D534" s="235">
        <v>4310102</v>
      </c>
      <c r="E534" s="265"/>
      <c r="F534" s="221">
        <v>0</v>
      </c>
      <c r="G534" s="221">
        <f t="shared" ref="G534" si="55">G535</f>
        <v>0</v>
      </c>
    </row>
    <row r="535" spans="1:7" s="21" customFormat="1" ht="78.75" hidden="1">
      <c r="A535" s="231" t="str">
        <f>IF(B535&gt;0,VLOOKUP(B535,КВСР!A326:B1491,2),IF(C535&gt;0,VLOOKUP(C535,КФСР!A326:B1838,2),IF(D535&gt;0,VLOOKUP(D535,КЦСР!A326:B4330,2),IF(E535&gt;0,VLOOKUP(E535,КВР!A326:B2257,2)))))</f>
        <v>Субсидии бюджетным учреждениям на финансовое обеспечение государственного задания на оказание государственных услуг (выполнение работ)</v>
      </c>
      <c r="B535" s="233"/>
      <c r="C535" s="234"/>
      <c r="D535" s="235"/>
      <c r="E535" s="236">
        <v>611</v>
      </c>
      <c r="F535" s="221">
        <v>0</v>
      </c>
      <c r="G535" s="221"/>
    </row>
    <row r="536" spans="1:7" s="21" customFormat="1" ht="31.5">
      <c r="A536" s="231" t="str">
        <f>IF(B536&gt;0,VLOOKUP(B536,КВСР!A327:B1492,2),IF(C536&gt;0,VLOOKUP(C536,КФСР!A327:B1839,2),IF(D536&gt;0,VLOOKUP(D536,КЦСР!A327:B4331,2),IF(E536&gt;0,VLOOKUP(E536,КВР!A327:B2258,2)))))</f>
        <v>Проведение мероприятий для детей и молодежи</v>
      </c>
      <c r="B536" s="233"/>
      <c r="C536" s="234"/>
      <c r="D536" s="235">
        <v>4310104</v>
      </c>
      <c r="E536" s="265"/>
      <c r="F536" s="221">
        <v>8926668</v>
      </c>
      <c r="G536" s="221">
        <f t="shared" ref="G536" si="56">G537</f>
        <v>8891157</v>
      </c>
    </row>
    <row r="537" spans="1:7" s="21" customFormat="1" ht="78.75">
      <c r="A537" s="231" t="str">
        <f>IF(B537&gt;0,VLOOKUP(B537,КВСР!A328:B1493,2),IF(C537&gt;0,VLOOKUP(C537,КФСР!A328:B1840,2),IF(D537&gt;0,VLOOKUP(D537,КЦСР!A328:B4332,2),IF(E537&gt;0,VLOOKUP(E537,КВР!A328:B2259,2)))))</f>
        <v>Субсидии бюджетным учреждениям на финансовое обеспечение государственного задания на оказание государственных услуг (выполнение работ)</v>
      </c>
      <c r="B537" s="233"/>
      <c r="C537" s="234"/>
      <c r="D537" s="235"/>
      <c r="E537" s="236">
        <v>611</v>
      </c>
      <c r="F537" s="221">
        <v>8926668</v>
      </c>
      <c r="G537" s="221">
        <v>8891157</v>
      </c>
    </row>
    <row r="538" spans="1:7" s="21" customFormat="1" ht="31.5">
      <c r="A538" s="231" t="str">
        <f>IF(B538&gt;0,VLOOKUP(B538,КВСР!A330:B1495,2),IF(C539&gt;0,VLOOKUP(C539,КФСР!A330:B1842,2),IF(D538&gt;0,VLOOKUP(D538,КЦСР!A330:B4334,2),IF(#REF!&gt;0,VLOOKUP(#REF!,КВР!A330:B2261,2)))))</f>
        <v>Обеспечение деятельности подведомственных учреждений</v>
      </c>
      <c r="B538" s="233"/>
      <c r="C538" s="234"/>
      <c r="D538" s="235">
        <v>4319900</v>
      </c>
      <c r="E538" s="265"/>
      <c r="F538" s="221">
        <v>5044715</v>
      </c>
      <c r="G538" s="221">
        <f>G539+G540</f>
        <v>5044715</v>
      </c>
    </row>
    <row r="539" spans="1:7" s="21" customFormat="1" ht="78.75">
      <c r="A539" s="231" t="str">
        <f>IF(B539&gt;0,VLOOKUP(B539,КВСР!A331:B1496,2),IF(C539&gt;0,VLOOKUP(C539,КФСР!A331:B1843,2),IF(D539&gt;0,VLOOKUP(D539,КЦСР!A331:B4335,2),IF(E539&gt;0,VLOOKUP(E539,КВР!A331:B2262,2)))))</f>
        <v>Субсидии бюджетным учреждениям на финансовое обеспечение государственного задания на оказание государственных услуг (выполнение работ)</v>
      </c>
      <c r="B539" s="233"/>
      <c r="C539" s="234"/>
      <c r="D539" s="235"/>
      <c r="E539" s="236">
        <v>611</v>
      </c>
      <c r="F539" s="221">
        <v>4718057</v>
      </c>
      <c r="G539" s="221">
        <v>4718057</v>
      </c>
    </row>
    <row r="540" spans="1:7" s="21" customFormat="1" ht="31.5">
      <c r="A540" s="231" t="str">
        <f>IF(B540&gt;0,VLOOKUP(B540,КВСР!A332:B1497,2),IF(C541&gt;0,VLOOKUP(C541,КФСР!A332:B1844,2),IF(D540&gt;0,VLOOKUP(D540,КЦСР!A332:B4336,2),IF(E540&gt;0,VLOOKUP(E540,КВР!A332:B2263,2)))))</f>
        <v>Субсидии бюджетным учреждениям на иные цели</v>
      </c>
      <c r="B540" s="233"/>
      <c r="C540" s="234"/>
      <c r="D540" s="235"/>
      <c r="E540" s="236">
        <v>612</v>
      </c>
      <c r="F540" s="221">
        <v>326658</v>
      </c>
      <c r="G540" s="221">
        <v>326658</v>
      </c>
    </row>
    <row r="541" spans="1:7" s="21" customFormat="1">
      <c r="A541" s="231" t="str">
        <f>IF(B541&gt;0,VLOOKUP(B541,КВСР!A333:B1498,2),IF(C542&gt;0,VLOOKUP(C542,КФСР!A333:B1845,2),IF(D541&gt;0,VLOOKUP(D541,КЦСР!A333:B4337,2),IF(#REF!&gt;0,VLOOKUP(#REF!,КВР!A333:B2264,2)))))</f>
        <v>Региональные целевые программы</v>
      </c>
      <c r="B541" s="233"/>
      <c r="C541" s="234"/>
      <c r="D541" s="235">
        <v>5220000</v>
      </c>
      <c r="E541" s="236"/>
      <c r="F541" s="221">
        <v>2150496</v>
      </c>
      <c r="G541" s="221">
        <f t="shared" ref="G541:G543" si="57">G542</f>
        <v>244496</v>
      </c>
    </row>
    <row r="542" spans="1:7" s="21" customFormat="1" ht="31.5">
      <c r="A542" s="231" t="str">
        <f>IF(B542&gt;0,VLOOKUP(B542,КВСР!A334:B1499,2),IF(C543&gt;0,VLOOKUP(C543,КФСР!A334:B1846,2),IF(D542&gt;0,VLOOKUP(D542,КЦСР!A334:B4338,2),IF(E541&gt;0,VLOOKUP(E541,КВР!A334:B2265,2)))))</f>
        <v>Областная комплексная целевая программа "Семья и дети Ярославии"</v>
      </c>
      <c r="B542" s="233"/>
      <c r="C542" s="234"/>
      <c r="D542" s="235">
        <v>5221300</v>
      </c>
      <c r="E542" s="236"/>
      <c r="F542" s="221">
        <v>364496</v>
      </c>
      <c r="G542" s="221">
        <f t="shared" si="57"/>
        <v>244496</v>
      </c>
    </row>
    <row r="543" spans="1:7" s="21" customFormat="1" ht="31.5">
      <c r="A543" s="231" t="str">
        <f>IF(B543&gt;0,VLOOKUP(B543,КВСР!A335:B1500,2),IF(C544&gt;0,VLOOKUP(C544,КФСР!A335:B1847,2),IF(D543&gt;0,VLOOKUP(D543,КЦСР!A335:B4339,2),IF(E542&gt;0,VLOOKUP(E542,КВР!A335:B2266,2)))))</f>
        <v>Подпрограмма "Ярославские каникулы" профильные лагеря</v>
      </c>
      <c r="B543" s="233"/>
      <c r="C543" s="234"/>
      <c r="D543" s="235">
        <v>5221310</v>
      </c>
      <c r="E543" s="265"/>
      <c r="F543" s="221">
        <v>244496</v>
      </c>
      <c r="G543" s="221">
        <f t="shared" si="57"/>
        <v>244496</v>
      </c>
    </row>
    <row r="544" spans="1:7" s="21" customFormat="1" ht="31.5">
      <c r="A544" s="231" t="str">
        <f>IF(B544&gt;0,VLOOKUP(B544,КВСР!A336:B1501,2),IF(C545&gt;0,VLOOKUP(C545,КФСР!A336:B1848,2),IF(D544&gt;0,VLOOKUP(D544,КЦСР!A336:B4340,2),IF(E544&gt;0,VLOOKUP(E544,КВР!A336:B2267,2)))))</f>
        <v>Субсидии бюджетным учреждениям на иные цели</v>
      </c>
      <c r="B544" s="233"/>
      <c r="C544" s="234"/>
      <c r="D544" s="235"/>
      <c r="E544" s="236">
        <v>612</v>
      </c>
      <c r="F544" s="221">
        <v>244496</v>
      </c>
      <c r="G544" s="221">
        <v>244496</v>
      </c>
    </row>
    <row r="545" spans="1:7" s="21" customFormat="1" ht="63">
      <c r="A545" s="231" t="str">
        <f>IF(B545&gt;0,VLOOKUP(B545,КВСР!A337:B1502,2),IF(C546&gt;0,VLOOKUP(C546,КФСР!A337:B1849,2),IF(D545&gt;0,VLOOKUP(D545,КЦСР!A337:B4341,2),IF(#REF!&gt;0,VLOOKUP(#REF!,КВР!A337:B2268,2)))))</f>
        <v>Подпрограмма "Ярославские каникулы" победители ежегодного конкурса соц. знач. проектов сфере организации отдыха</v>
      </c>
      <c r="B545" s="233"/>
      <c r="C545" s="234"/>
      <c r="D545" s="235">
        <v>5221312</v>
      </c>
      <c r="E545" s="265"/>
      <c r="F545" s="221">
        <v>120000</v>
      </c>
      <c r="G545" s="221">
        <f t="shared" ref="G545" si="58">G546</f>
        <v>120000</v>
      </c>
    </row>
    <row r="546" spans="1:7" s="21" customFormat="1" ht="31.5">
      <c r="A546" s="231" t="str">
        <f>IF(B546&gt;0,VLOOKUP(B546,КВСР!A338:B1503,2),IF(C547&gt;0,VLOOKUP(C547,КФСР!A338:B1850,2),IF(D546&gt;0,VLOOKUP(D546,КЦСР!A338:B4342,2),IF(E546&gt;0,VLOOKUP(E546,КВР!A338:B2269,2)))))</f>
        <v>Субсидии бюджетным учреждениям на иные цели</v>
      </c>
      <c r="B546" s="233"/>
      <c r="C546" s="234"/>
      <c r="D546" s="235"/>
      <c r="E546" s="236">
        <v>612</v>
      </c>
      <c r="F546" s="221">
        <v>120000</v>
      </c>
      <c r="G546" s="221">
        <v>120000</v>
      </c>
    </row>
    <row r="547" spans="1:7" s="21" customFormat="1" ht="47.25">
      <c r="A547" s="231" t="str">
        <f>IF(B547&gt;0,VLOOKUP(B547,КВСР!A337:B1502,2),IF(C548&gt;0,VLOOKUP(C548,КФСР!A337:B1849,2),IF(D547&gt;0,VLOOKUP(D547,КЦСР!A337:B4341,2),IF(#REF!&gt;0,VLOOKUP(#REF!,КВР!A337:B2268,2)))))</f>
        <v>Региональная программа "Социальная поддержка пожилых граждан в Ярославской области"</v>
      </c>
      <c r="B547" s="233"/>
      <c r="C547" s="234"/>
      <c r="D547" s="235">
        <v>5226900</v>
      </c>
      <c r="E547" s="236"/>
      <c r="F547" s="221">
        <v>1428000</v>
      </c>
      <c r="G547" s="221">
        <f t="shared" ref="G547:G548" si="59">G548</f>
        <v>1428000</v>
      </c>
    </row>
    <row r="548" spans="1:7" s="21" customFormat="1" ht="63">
      <c r="A548" s="231" t="str">
        <f>IF(B548&gt;0,VLOOKUP(B548,КВСР!A338:B1503,2),IF(C549&gt;0,VLOOKUP(C549,КФСР!A338:B1850,2),IF(D548&gt;0,VLOOKUP(D548,КЦСР!A338:B4342,2),IF(E547&gt;0,VLOOKUP(E547,КВР!A338:B2269,2)))))</f>
        <v>Региональная программа "Социальная поддержка пожилых граждан в Ярославской области" в сфере молодежной политики</v>
      </c>
      <c r="B548" s="233"/>
      <c r="C548" s="234"/>
      <c r="D548" s="235">
        <v>5226905</v>
      </c>
      <c r="E548" s="265"/>
      <c r="F548" s="221">
        <v>1428000</v>
      </c>
      <c r="G548" s="221">
        <f t="shared" si="59"/>
        <v>1428000</v>
      </c>
    </row>
    <row r="549" spans="1:7" s="21" customFormat="1" ht="31.5">
      <c r="A549" s="231" t="str">
        <f>IF(B549&gt;0,VLOOKUP(B549,КВСР!A339:B1504,2),IF(C550&gt;0,VLOOKUP(C550,КФСР!A339:B1851,2),IF(D549&gt;0,VLOOKUP(D549,КЦСР!A339:B4343,2),IF(E549&gt;0,VLOOKUP(E549,КВР!A339:B2270,2)))))</f>
        <v>Субсидии бюджетным учреждениям на иные цели</v>
      </c>
      <c r="B549" s="233"/>
      <c r="C549" s="234"/>
      <c r="D549" s="235"/>
      <c r="E549" s="236">
        <v>612</v>
      </c>
      <c r="F549" s="221">
        <v>1428000</v>
      </c>
      <c r="G549" s="221">
        <v>1428000</v>
      </c>
    </row>
    <row r="550" spans="1:7" s="21" customFormat="1" ht="30.75" hidden="1" customHeight="1">
      <c r="A550" s="231" t="str">
        <f>IF(B550&gt;0,VLOOKUP(B550,КВСР!A340:B1505,2),IF(C551&gt;0,VLOOKUP(C551,КФСР!A340:B1852,2),IF(D550&gt;0,VLOOKUP(D550,КЦСР!A340:B4344,2),IF(#REF!&gt;0,VLOOKUP(#REF!,КВР!A340:B2271,2)))))</f>
        <v>Областная целевая программа "Доступная среда"</v>
      </c>
      <c r="B550" s="233"/>
      <c r="C550" s="234"/>
      <c r="D550" s="235">
        <v>5227200</v>
      </c>
      <c r="E550" s="236"/>
      <c r="F550" s="221">
        <v>358000</v>
      </c>
      <c r="G550" s="221">
        <f t="shared" ref="G550:G551" si="60">G551</f>
        <v>0</v>
      </c>
    </row>
    <row r="551" spans="1:7" s="21" customFormat="1" ht="47.25" hidden="1">
      <c r="A551" s="231" t="str">
        <f>IF(B551&gt;0,VLOOKUP(B551,КВСР!A341:B1506,2),IF(C552&gt;0,VLOOKUP(C552,КФСР!A341:B1853,2),IF(D551&gt;0,VLOOKUP(D551,КЦСР!A341:B4345,2),IF(E550&gt;0,VLOOKUP(E550,КВР!A341:B2272,2)))))</f>
        <v>Мероприятия по реализации областной целевой программы "Доступная среда"</v>
      </c>
      <c r="B551" s="233"/>
      <c r="C551" s="234"/>
      <c r="D551" s="235">
        <v>5227204</v>
      </c>
      <c r="E551" s="265"/>
      <c r="F551" s="221">
        <v>0</v>
      </c>
      <c r="G551" s="221">
        <f t="shared" si="60"/>
        <v>0</v>
      </c>
    </row>
    <row r="552" spans="1:7" s="21" customFormat="1" ht="31.5" hidden="1">
      <c r="A552" s="231" t="str">
        <f>IF(B552&gt;0,VLOOKUP(B552,КВСР!A342:B1507,2),IF(C553&gt;0,VLOOKUP(C553,КФСР!A342:B1854,2),IF(D552&gt;0,VLOOKUP(D552,КЦСР!A342:B4346,2),IF(E552&gt;0,VLOOKUP(E552,КВР!A342:B2273,2)))))</f>
        <v>Субсидии бюджетным учреждениям на иные цели</v>
      </c>
      <c r="B552" s="233"/>
      <c r="C552" s="234"/>
      <c r="D552" s="235"/>
      <c r="E552" s="236">
        <v>612</v>
      </c>
      <c r="F552" s="221">
        <v>0</v>
      </c>
      <c r="G552" s="221"/>
    </row>
    <row r="553" spans="1:7" s="21" customFormat="1" ht="47.25">
      <c r="A553" s="231" t="str">
        <f>IF(B553&gt;0,VLOOKUP(B553,КВСР!A343:B1508,2),IF(C554&gt;0,VLOOKUP(C554,КФСР!A343:B1855,2),IF(D553&gt;0,VLOOKUP(D553,КЦСР!A343:B4347,2),IF(#REF!&gt;0,VLOOKUP(#REF!,КВР!A343:B2274,2)))))</f>
        <v>Реализацию областной целевой программы "Доступная среда" в сфере молодежной политики</v>
      </c>
      <c r="B553" s="233"/>
      <c r="C553" s="234"/>
      <c r="D553" s="235">
        <v>5227212</v>
      </c>
      <c r="E553" s="265"/>
      <c r="F553" s="221">
        <v>358000</v>
      </c>
      <c r="G553" s="221">
        <f t="shared" ref="G553" si="61">G554</f>
        <v>358000</v>
      </c>
    </row>
    <row r="554" spans="1:7" s="21" customFormat="1" ht="31.5">
      <c r="A554" s="231" t="str">
        <f>IF(B554&gt;0,VLOOKUP(B554,КВСР!A344:B1509,2),IF(C555&gt;0,VLOOKUP(C555,КФСР!A344:B1856,2),IF(D554&gt;0,VLOOKUP(D554,КЦСР!A344:B4348,2),IF(E554&gt;0,VLOOKUP(E554,КВР!A344:B2275,2)))))</f>
        <v>Субсидии бюджетным учреждениям на иные цели</v>
      </c>
      <c r="B554" s="233"/>
      <c r="C554" s="234"/>
      <c r="D554" s="235"/>
      <c r="E554" s="236">
        <v>612</v>
      </c>
      <c r="F554" s="221">
        <v>358000</v>
      </c>
      <c r="G554" s="221">
        <v>358000</v>
      </c>
    </row>
    <row r="555" spans="1:7" s="21" customFormat="1" ht="31.5">
      <c r="A555" s="231" t="str">
        <f>IF(B555&gt;0,VLOOKUP(B555,КВСР!A340:B1505,2),IF(C556&gt;0,VLOOKUP(C556,КФСР!A340:B1852,2),IF(D555&gt;0,VLOOKUP(D555,КЦСР!A340:B4344,2),IF(#REF!&gt;0,VLOOKUP(#REF!,КВР!A340:B2271,2)))))</f>
        <v>Целевые программы муниципальных образований</v>
      </c>
      <c r="B555" s="233"/>
      <c r="C555" s="234"/>
      <c r="D555" s="235">
        <v>7950000</v>
      </c>
      <c r="E555" s="236"/>
      <c r="F555" s="221">
        <v>56000</v>
      </c>
      <c r="G555" s="221">
        <f t="shared" ref="G555:G556" si="62">G556</f>
        <v>56000</v>
      </c>
    </row>
    <row r="556" spans="1:7" s="21" customFormat="1" ht="62.25" customHeight="1">
      <c r="A556" s="231" t="str">
        <f>IF(B556&gt;0,VLOOKUP(B556,КВСР!A341:B1506,2),IF(C557&gt;0,VLOOKUP(C557,КФСР!A341:B1853,2),IF(D556&gt;0,VLOOKUP(D556,КЦСР!A341:B4345,2),IF(E555&gt;0,VLOOKUP(E555,КВР!A341:B2272,2)))))</f>
        <v>МЦП "Патриотическое воспитание граждан РФ, проживающих на территории ТМР ЯО, на 2011-2013 годы"</v>
      </c>
      <c r="B556" s="233"/>
      <c r="C556" s="234"/>
      <c r="D556" s="235">
        <v>7950900</v>
      </c>
      <c r="E556" s="265"/>
      <c r="F556" s="221">
        <v>56000</v>
      </c>
      <c r="G556" s="221">
        <f t="shared" si="62"/>
        <v>56000</v>
      </c>
    </row>
    <row r="557" spans="1:7" s="21" customFormat="1" ht="31.5">
      <c r="A557" s="231" t="str">
        <f>IF(B557&gt;0,VLOOKUP(B557,КВСР!A342:B1507,2),IF(C557&gt;0,VLOOKUP(C557,КФСР!A342:B1854,2),IF(D557&gt;0,VLOOKUP(D557,КЦСР!A342:B4346,2),IF(E557&gt;0,VLOOKUP(E557,КВР!A342:B2273,2)))))</f>
        <v>Субсидии бюджетным учреждениям на иные цели</v>
      </c>
      <c r="B557" s="233"/>
      <c r="C557" s="234"/>
      <c r="D557" s="235"/>
      <c r="E557" s="236">
        <v>612</v>
      </c>
      <c r="F557" s="221">
        <v>56000</v>
      </c>
      <c r="G557" s="221">
        <v>56000</v>
      </c>
    </row>
    <row r="558" spans="1:7" s="21" customFormat="1" ht="22.5" customHeight="1">
      <c r="A558" s="231" t="str">
        <f>IF(B558&gt;0,VLOOKUP(B558,КВСР!A343:B1508,2),IF(C558&gt;0,VLOOKUP(C558,КФСР!A343:B1855,2),IF(D558&gt;0,VLOOKUP(D558,КЦСР!A343:B4347,2),IF(#REF!&gt;0,VLOOKUP(#REF!,КВР!A343:B2274,2)))))</f>
        <v>Другие вопросы в области образования</v>
      </c>
      <c r="B558" s="233"/>
      <c r="C558" s="234">
        <v>709</v>
      </c>
      <c r="D558" s="235"/>
      <c r="E558" s="236"/>
      <c r="F558" s="221">
        <v>146181</v>
      </c>
      <c r="G558" s="221">
        <f t="shared" ref="G558:G561" si="63">G559</f>
        <v>146180</v>
      </c>
    </row>
    <row r="559" spans="1:7" s="21" customFormat="1" ht="47.25">
      <c r="A559" s="231" t="str">
        <f>IF(B559&gt;0,VLOOKUP(B559,КВСР!A344:B1509,2),IF(C560&gt;0,VLOOKUP(C560,КФСР!A344:B1856,2),IF(D559&gt;0,VLOOKUP(D559,КЦСР!A344:B4348,2),IF(E558&gt;0,VLOOKUP(E558,КВР!A344:B2275,2)))))</f>
        <v>Реализация государственных функций, связанных с общегосударственным управлением</v>
      </c>
      <c r="B559" s="233"/>
      <c r="C559" s="245"/>
      <c r="D559" s="235">
        <v>920000</v>
      </c>
      <c r="E559" s="236"/>
      <c r="F559" s="221">
        <v>146181</v>
      </c>
      <c r="G559" s="221">
        <f t="shared" si="63"/>
        <v>146180</v>
      </c>
    </row>
    <row r="560" spans="1:7" s="21" customFormat="1" ht="51.75" customHeight="1">
      <c r="A560" s="231" t="str">
        <f>IF(B560&gt;0,VLOOKUP(B560,КВСР!A345:B1510,2),IF(C561&gt;0,VLOOKUP(C561,КФСР!A345:B1857,2),IF(D560&gt;0,VLOOKUP(D560,КЦСР!A345:B4349,2),IF(E559&gt;0,VLOOKUP(E559,КВР!A345:B2276,2)))))</f>
        <v>Программа энергосбережения и повышения энергетической эффективности на период до 2020 года</v>
      </c>
      <c r="B560" s="233"/>
      <c r="C560" s="234"/>
      <c r="D560" s="235">
        <v>923400</v>
      </c>
      <c r="E560" s="236"/>
      <c r="F560" s="221">
        <v>146181</v>
      </c>
      <c r="G560" s="221">
        <f t="shared" si="63"/>
        <v>146180</v>
      </c>
    </row>
    <row r="561" spans="1:7" s="21" customFormat="1" ht="117.75" customHeight="1">
      <c r="A561" s="231" t="str">
        <f>IF(B561&gt;0,VLOOKUP(B561,КВСР!A346:B1511,2),IF(C562&gt;0,VLOOKUP(C562,КФСР!A346:B1858,2),IF(D561&gt;0,VLOOKUP(D561,КЦСР!A346:B4350,2),IF(E560&gt;0,VLOOKUP(E560,КВР!A346:B2277,2)))))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561" s="233"/>
      <c r="C561" s="234"/>
      <c r="D561" s="235">
        <v>923403</v>
      </c>
      <c r="E561" s="265"/>
      <c r="F561" s="221">
        <v>146181</v>
      </c>
      <c r="G561" s="221">
        <f t="shared" si="63"/>
        <v>146180</v>
      </c>
    </row>
    <row r="562" spans="1:7" s="21" customFormat="1" ht="31.5">
      <c r="A562" s="231" t="str">
        <f>IF(B562&gt;0,VLOOKUP(B562,КВСР!A339:B1504,2),IF(C562&gt;0,VLOOKUP(C562,КФСР!A339:B1851,2),IF(D562&gt;0,VLOOKUP(D562,КЦСР!A339:B4343,2),IF(E562&gt;0,VLOOKUP(E562,КВР!A339:B2270,2)))))</f>
        <v>Субсидии бюджетным учреждениям на иные цели</v>
      </c>
      <c r="B562" s="233"/>
      <c r="C562" s="234"/>
      <c r="D562" s="235"/>
      <c r="E562" s="236">
        <v>612</v>
      </c>
      <c r="F562" s="221">
        <v>146181</v>
      </c>
      <c r="G562" s="221">
        <v>146180</v>
      </c>
    </row>
    <row r="563" spans="1:7" s="21" customFormat="1">
      <c r="A563" s="231" t="str">
        <f>IF(B563&gt;0,VLOOKUP(B563,КВСР!A340:B1505,2),IF(C563&gt;0,VLOOKUP(C563,КФСР!A340:B1852,2),IF(D563&gt;0,VLOOKUP(D563,КЦСР!A340:B4344,2),IF(#REF!&gt;0,VLOOKUP(#REF!,КВР!A340:B2271,2)))))</f>
        <v>Культура</v>
      </c>
      <c r="B563" s="233"/>
      <c r="C563" s="234">
        <v>801</v>
      </c>
      <c r="D563" s="237"/>
      <c r="E563" s="240"/>
      <c r="F563" s="221">
        <v>78802587</v>
      </c>
      <c r="G563" s="221">
        <f>G564+G567+G583+G593+G580</f>
        <v>78610858</v>
      </c>
    </row>
    <row r="564" spans="1:7" s="21" customFormat="1">
      <c r="A564" s="231" t="str">
        <f>IF(B564&gt;0,VLOOKUP(B564,КВСР!A341:B1506,2),IF(C565&gt;0,VLOOKUP(C565,КФСР!A341:B1853,2),IF(D564&gt;0,VLOOKUP(D564,КЦСР!A341:B4345,2),IF(E563&gt;0,VLOOKUP(E563,КВР!A341:B2272,2)))))</f>
        <v>Резервные фонды</v>
      </c>
      <c r="B564" s="233"/>
      <c r="C564" s="245"/>
      <c r="D564" s="237">
        <v>700000</v>
      </c>
      <c r="E564" s="240"/>
      <c r="F564" s="221">
        <v>383045</v>
      </c>
      <c r="G564" s="221">
        <f t="shared" ref="G564:G565" si="64">G565</f>
        <v>379306</v>
      </c>
    </row>
    <row r="565" spans="1:7" s="21" customFormat="1" ht="47.25">
      <c r="A565" s="231" t="str">
        <f>IF(B565&gt;0,VLOOKUP(B565,КВСР!A357:B1522,2),IF(C565&gt;0,VLOOKUP(C565,КФСР!A357:B1869,2),IF(D565&gt;0,VLOOKUP(D565,КЦСР!A357:B4361,2),IF(E565&gt;0,VLOOKUP(E565,КВР!A357:B2288,2)))))</f>
        <v>Резервный фонд исполнительных органов государственной власти субъектов Российской Федерации</v>
      </c>
      <c r="B565" s="233"/>
      <c r="C565" s="234"/>
      <c r="D565" s="237">
        <v>700400</v>
      </c>
      <c r="E565" s="265"/>
      <c r="F565" s="221">
        <v>383045</v>
      </c>
      <c r="G565" s="221">
        <f t="shared" si="64"/>
        <v>379306</v>
      </c>
    </row>
    <row r="566" spans="1:7" s="21" customFormat="1" ht="31.5">
      <c r="A566" s="231" t="str">
        <f>IF(B566&gt;0,VLOOKUP(B566,КВСР!A358:B1523,2),IF(C566&gt;0,VLOOKUP(C566,КФСР!A358:B1870,2),IF(D566&gt;0,VLOOKUP(D566,КЦСР!A358:B4362,2),IF(E566&gt;0,VLOOKUP(E566,КВР!A358:B2289,2)))))</f>
        <v>Субсидии бюджетным учреждениям на иные цели</v>
      </c>
      <c r="B566" s="233"/>
      <c r="C566" s="234"/>
      <c r="D566" s="237"/>
      <c r="E566" s="240">
        <v>612</v>
      </c>
      <c r="F566" s="221">
        <v>383045</v>
      </c>
      <c r="G566" s="221">
        <v>379306</v>
      </c>
    </row>
    <row r="567" spans="1:7" s="21" customFormat="1" ht="31.5">
      <c r="A567" s="231" t="str">
        <f>IF(B567&gt;0,VLOOKUP(B567,КВСР!A359:B1524,2),IF(C567&gt;0,VLOOKUP(C567,КФСР!A359:B1871,2),IF(D567&gt;0,VLOOKUP(D567,КЦСР!A359:B4363,2),IF(E567&gt;0,VLOOKUP(E567,КВР!A359:B2290,2)))))</f>
        <v>Учреждения культуры и мероприятия в сфере культуры и кинематографии</v>
      </c>
      <c r="B567" s="233"/>
      <c r="C567" s="234"/>
      <c r="D567" s="237">
        <v>4400000</v>
      </c>
      <c r="E567" s="240"/>
      <c r="F567" s="221">
        <v>62303681</v>
      </c>
      <c r="G567" s="221">
        <f>G568+G570+G572+G577</f>
        <v>62115691</v>
      </c>
    </row>
    <row r="568" spans="1:7" s="21" customFormat="1" ht="36.75" customHeight="1">
      <c r="A568" s="231" t="str">
        <f>IF(B568&gt;0,VLOOKUP(B568,КВСР!A360:B1525,2),IF(C568&gt;0,VLOOKUP(C568,КФСР!A360:B1872,2),IF(D568&gt;0,VLOOKUP(D568,КЦСР!A360:B4364,2),IF(E568&gt;0,VLOOKUP(E568,КВР!A360:B2291,2)))))</f>
        <v>Комплектование книжных фондов библиотек муниципальных образований</v>
      </c>
      <c r="B568" s="233"/>
      <c r="C568" s="234"/>
      <c r="D568" s="237">
        <v>4400200</v>
      </c>
      <c r="E568" s="265"/>
      <c r="F568" s="221">
        <v>155000</v>
      </c>
      <c r="G568" s="221">
        <f t="shared" ref="G568" si="65">G569</f>
        <v>155000</v>
      </c>
    </row>
    <row r="569" spans="1:7" s="21" customFormat="1" ht="31.5">
      <c r="A569" s="231" t="str">
        <f>IF(B569&gt;0,VLOOKUP(B569,КВСР!A361:B1526,2),IF(C569&gt;0,VLOOKUP(C569,КФСР!A361:B1873,2),IF(D569&gt;0,VLOOKUP(D569,КЦСР!A361:B4365,2),IF(E569&gt;0,VLOOKUP(E569,КВР!A361:B2292,2)))))</f>
        <v>Субсидии бюджетным учреждениям на иные цели</v>
      </c>
      <c r="B569" s="233"/>
      <c r="C569" s="234"/>
      <c r="D569" s="237"/>
      <c r="E569" s="240">
        <v>612</v>
      </c>
      <c r="F569" s="221">
        <v>155000</v>
      </c>
      <c r="G569" s="221">
        <v>155000</v>
      </c>
    </row>
    <row r="570" spans="1:7" s="21" customFormat="1" ht="47.25">
      <c r="A570" s="231" t="str">
        <f>IF(B570&gt;0,VLOOKUP(B570,КВСР!A362:B1527,2),IF(C570&gt;0,VLOOKUP(C570,КФСР!A362:B1874,2),IF(D570&gt;0,VLOOKUP(D570,КЦСР!A362:B4366,2),IF(E570&gt;0,VLOOKUP(E570,КВР!A362:B2293,2)))))</f>
        <v>Подключение общедоступных библиотек Российской Федерации к сети Интернет</v>
      </c>
      <c r="B570" s="233"/>
      <c r="C570" s="234"/>
      <c r="D570" s="237">
        <v>4400900</v>
      </c>
      <c r="E570" s="265"/>
      <c r="F570" s="221">
        <v>34000</v>
      </c>
      <c r="G570" s="221">
        <f t="shared" ref="G570" si="66">G571</f>
        <v>34000</v>
      </c>
    </row>
    <row r="571" spans="1:7" s="21" customFormat="1" ht="31.5">
      <c r="A571" s="231" t="str">
        <f>IF(B571&gt;0,VLOOKUP(B571,КВСР!A364:B1529,2),IF(C571&gt;0,VLOOKUP(C571,КФСР!A364:B1876,2),IF(D571&gt;0,VLOOKUP(D571,КЦСР!A364:B4368,2),IF(E571&gt;0,VLOOKUP(E571,КВР!A364:B2295,2)))))</f>
        <v>Субсидии бюджетным учреждениям на иные цели</v>
      </c>
      <c r="B571" s="233"/>
      <c r="C571" s="234"/>
      <c r="D571" s="237"/>
      <c r="E571" s="240">
        <v>612</v>
      </c>
      <c r="F571" s="221">
        <v>34000</v>
      </c>
      <c r="G571" s="221">
        <v>34000</v>
      </c>
    </row>
    <row r="572" spans="1:7" s="21" customFormat="1" ht="47.25">
      <c r="A572" s="231" t="str">
        <f>IF(B572&gt;0,VLOOKUP(B572,КВСР!A365:B1530,2),IF(C572&gt;0,VLOOKUP(C572,КФСР!A365:B1877,2),IF(D572&gt;0,VLOOKUP(D572,КЦСР!A365:B4369,2),IF(E572&gt;0,VLOOKUP(E572,КВР!A365:B2296,2)))))</f>
        <v>Подключение общедоступных библиотек Российской Федерации к сети Интернет</v>
      </c>
      <c r="B572" s="233"/>
      <c r="C572" s="234"/>
      <c r="D572" s="237">
        <v>4401600</v>
      </c>
      <c r="E572" s="240"/>
      <c r="F572" s="221">
        <v>200000</v>
      </c>
      <c r="G572" s="221">
        <f>G573+G575</f>
        <v>200000</v>
      </c>
    </row>
    <row r="573" spans="1:7" s="21" customFormat="1" ht="47.25">
      <c r="A573" s="231" t="str">
        <f>IF(B573&gt;0,VLOOKUP(B573,КВСР!A366:B1531,2),IF(C573&gt;0,VLOOKUP(C573,КФСР!A366:B1878,2),IF(D573&gt;0,VLOOKUP(D573,КЦСР!A366:B4370,2),IF(E573&gt;0,VLOOKUP(E573,КВР!A366:B2297,2)))))</f>
        <v>Подключение общедоступных библиотек Российской Федерации к сети Интернет</v>
      </c>
      <c r="B573" s="233"/>
      <c r="C573" s="234"/>
      <c r="D573" s="237">
        <v>4401601</v>
      </c>
      <c r="E573" s="240"/>
      <c r="F573" s="221">
        <v>100000</v>
      </c>
      <c r="G573" s="221">
        <f t="shared" ref="G573" si="67">G574</f>
        <v>100000</v>
      </c>
    </row>
    <row r="574" spans="1:7" s="21" customFormat="1" ht="31.5">
      <c r="A574" s="231" t="str">
        <f>IF(B574&gt;0,VLOOKUP(B574,КВСР!A367:B1532,2),IF(C574&gt;0,VLOOKUP(C574,КФСР!A367:B1879,2),IF(D574&gt;0,VLOOKUP(D574,КЦСР!A367:B4371,2),IF(E574&gt;0,VLOOKUP(E574,КВР!A367:B2298,2)))))</f>
        <v>Субсидии бюджетным учреждениям на иные цели</v>
      </c>
      <c r="B574" s="233"/>
      <c r="C574" s="234"/>
      <c r="D574" s="237"/>
      <c r="E574" s="240">
        <v>612</v>
      </c>
      <c r="F574" s="221">
        <v>100000</v>
      </c>
      <c r="G574" s="221">
        <v>100000</v>
      </c>
    </row>
    <row r="575" spans="1:7" s="21" customFormat="1" ht="47.25">
      <c r="A575" s="231" t="str">
        <f>IF(B575&gt;0,VLOOKUP(B575,КВСР!A368:B1533,2),IF(C575&gt;0,VLOOKUP(C575,КФСР!A368:B1880,2),IF(D575&gt;0,VLOOKUP(D575,КЦСР!A368:B4372,2),IF(E575&gt;0,VLOOKUP(E575,КВР!A368:B2299,2)))))</f>
        <v>Подключение общедоступных библиотек Российской Федерации к сети Интернет</v>
      </c>
      <c r="B575" s="233"/>
      <c r="C575" s="234"/>
      <c r="D575" s="237">
        <v>4401602</v>
      </c>
      <c r="E575" s="240"/>
      <c r="F575" s="221">
        <v>100000</v>
      </c>
      <c r="G575" s="221">
        <f t="shared" ref="G575" si="68">G576</f>
        <v>100000</v>
      </c>
    </row>
    <row r="576" spans="1:7" s="21" customFormat="1" ht="31.5">
      <c r="A576" s="231" t="str">
        <f>IF(B576&gt;0,VLOOKUP(B576,КВСР!A369:B1534,2),IF(C576&gt;0,VLOOKUP(C576,КФСР!A369:B1881,2),IF(D576&gt;0,VLOOKUP(D576,КЦСР!A369:B4373,2),IF(E576&gt;0,VLOOKUP(E576,КВР!A369:B2300,2)))))</f>
        <v>Субсидии бюджетным учреждениям на иные цели</v>
      </c>
      <c r="B576" s="233"/>
      <c r="C576" s="234"/>
      <c r="D576" s="237"/>
      <c r="E576" s="240">
        <v>612</v>
      </c>
      <c r="F576" s="221">
        <v>100000</v>
      </c>
      <c r="G576" s="221">
        <v>100000</v>
      </c>
    </row>
    <row r="577" spans="1:7" s="21" customFormat="1" ht="31.5">
      <c r="A577" s="231" t="str">
        <f>IF(B577&gt;0,VLOOKUP(B577,КВСР!A370:B1535,2),IF(C577&gt;0,VLOOKUP(C577,КФСР!A370:B1882,2),IF(D577&gt;0,VLOOKUP(D577,КЦСР!A370:B4374,2),IF(E577&gt;0,VLOOKUP(E577,КВР!A370:B2301,2)))))</f>
        <v>Обеспечение деятельности подведомственных учреждений</v>
      </c>
      <c r="B577" s="233"/>
      <c r="C577" s="234"/>
      <c r="D577" s="235">
        <v>4409900</v>
      </c>
      <c r="E577" s="265"/>
      <c r="F577" s="221">
        <v>61914681</v>
      </c>
      <c r="G577" s="221">
        <f>SUM(G578:G579)</f>
        <v>61726691</v>
      </c>
    </row>
    <row r="578" spans="1:7" s="21" customFormat="1" ht="78.75">
      <c r="A578" s="231" t="str">
        <f>IF(B578&gt;0,VLOOKUP(B578,КВСР!A371:B1536,2),IF(C578&gt;0,VLOOKUP(C578,КФСР!A371:B1883,2),IF(D578&gt;0,VLOOKUP(D578,КЦСР!A371:B4375,2),IF(E578&gt;0,VLOOKUP(E578,КВР!A371:B2302,2)))))</f>
        <v>Субсидии бюджетным учреждениям на финансовое обеспечение государственного задания на оказание государственных услуг (выполнение работ)</v>
      </c>
      <c r="B578" s="233"/>
      <c r="C578" s="234"/>
      <c r="D578" s="235"/>
      <c r="E578" s="236">
        <v>611</v>
      </c>
      <c r="F578" s="221">
        <v>58241089</v>
      </c>
      <c r="G578" s="221">
        <v>58106614</v>
      </c>
    </row>
    <row r="579" spans="1:7" s="21" customFormat="1" ht="31.5">
      <c r="A579" s="231" t="str">
        <f>IF(B579&gt;0,VLOOKUP(B579,КВСР!A372:B1537,2),IF(C579&gt;0,VLOOKUP(C579,КФСР!A372:B1884,2),IF(D579&gt;0,VLOOKUP(D579,КЦСР!A372:B4376,2),IF(E579&gt;0,VLOOKUP(E579,КВР!A372:B2303,2)))))</f>
        <v>Субсидии бюджетным учреждениям на иные цели</v>
      </c>
      <c r="B579" s="233"/>
      <c r="C579" s="234"/>
      <c r="D579" s="235"/>
      <c r="E579" s="236">
        <v>612</v>
      </c>
      <c r="F579" s="221">
        <v>3673592</v>
      </c>
      <c r="G579" s="221">
        <v>3620077</v>
      </c>
    </row>
    <row r="580" spans="1:7" s="21" customFormat="1" ht="31.5">
      <c r="A580" s="231" t="str">
        <f>IF(B580&gt;0,VLOOKUP(B580,КВСР!A373:B1538,2),IF(C580&gt;0,VLOOKUP(C580,КФСР!A373:B1885,2),IF(D580&gt;0,VLOOKUP(D580,КЦСР!A373:B4377,2),IF(E580&gt;0,VLOOKUP(E580,КВР!A373:B2304,2)))))</f>
        <v>Обеспечение деятельности подведомственных учреждений</v>
      </c>
      <c r="B580" s="233"/>
      <c r="C580" s="234"/>
      <c r="D580" s="235">
        <v>4429900</v>
      </c>
      <c r="E580" s="265"/>
      <c r="F580" s="221">
        <v>15074970</v>
      </c>
      <c r="G580" s="221">
        <f>SUM(G581:G582)</f>
        <v>15074970</v>
      </c>
    </row>
    <row r="581" spans="1:7" s="21" customFormat="1" ht="78.75">
      <c r="A581" s="231" t="str">
        <f>IF(B581&gt;0,VLOOKUP(B581,КВСР!A374:B1539,2),IF(C581&gt;0,VLOOKUP(C581,КФСР!A374:B1886,2),IF(D581&gt;0,VLOOKUP(D581,КЦСР!A374:B4378,2),IF(E581&gt;0,VLOOKUP(E581,КВР!A374:B2305,2)))))</f>
        <v>Субсидии бюджетным учреждениям на финансовое обеспечение государственного задания на оказание государственных услуг (выполнение работ)</v>
      </c>
      <c r="B581" s="233"/>
      <c r="C581" s="234"/>
      <c r="D581" s="235"/>
      <c r="E581" s="236">
        <v>611</v>
      </c>
      <c r="F581" s="221">
        <v>14489073</v>
      </c>
      <c r="G581" s="221">
        <v>14489073</v>
      </c>
    </row>
    <row r="582" spans="1:7" s="21" customFormat="1" ht="31.5">
      <c r="A582" s="231" t="str">
        <f>IF(B582&gt;0,VLOOKUP(B582,КВСР!A375:B1540,2),IF(C582&gt;0,VLOOKUP(C582,КФСР!A375:B1887,2),IF(D582&gt;0,VLOOKUP(D582,КЦСР!A375:B4379,2),IF(E582&gt;0,VLOOKUP(E582,КВР!A375:B2306,2)))))</f>
        <v>Субсидии бюджетным учреждениям на иные цели</v>
      </c>
      <c r="B582" s="233"/>
      <c r="C582" s="234"/>
      <c r="D582" s="235"/>
      <c r="E582" s="236">
        <v>612</v>
      </c>
      <c r="F582" s="221">
        <v>585897</v>
      </c>
      <c r="G582" s="221">
        <v>585897</v>
      </c>
    </row>
    <row r="583" spans="1:7" s="21" customFormat="1">
      <c r="A583" s="231" t="str">
        <f>IF(B583&gt;0,VLOOKUP(B583,КВСР!A376:B1541,2),IF(C583&gt;0,VLOOKUP(C583,КФСР!A376:B1888,2),IF(D583&gt;0,VLOOKUP(D583,КЦСР!A376:B4380,2),IF(E583&gt;0,VLOOKUP(E583,КВР!A376:B2307,2)))))</f>
        <v>Региональные целевые программы</v>
      </c>
      <c r="B583" s="233"/>
      <c r="C583" s="234"/>
      <c r="D583" s="235">
        <v>5220000</v>
      </c>
      <c r="E583" s="236"/>
      <c r="F583" s="221">
        <v>340891</v>
      </c>
      <c r="G583" s="221">
        <f>G584+G587+G590</f>
        <v>340891</v>
      </c>
    </row>
    <row r="584" spans="1:7" s="21" customFormat="1" ht="31.5">
      <c r="A584" s="231" t="str">
        <f>IF(B584&gt;0,VLOOKUP(B584,КВСР!A377:B1542,2),IF(C584&gt;0,VLOOKUP(C584,КФСР!A377:B1889,2),IF(D584&gt;0,VLOOKUP(D584,КЦСР!A377:B4381,2),IF(E584&gt;0,VLOOKUP(E584,КВР!A377:B2308,2)))))</f>
        <v>ОЦП "развитие МТБ учреждений культуры ЯО"</v>
      </c>
      <c r="B584" s="233"/>
      <c r="C584" s="234"/>
      <c r="D584" s="235">
        <v>5226100</v>
      </c>
      <c r="E584" s="236"/>
      <c r="F584" s="221">
        <v>248012</v>
      </c>
      <c r="G584" s="221">
        <f t="shared" ref="G584:G585" si="69">G585</f>
        <v>248012</v>
      </c>
    </row>
    <row r="585" spans="1:7" s="21" customFormat="1" ht="31.5">
      <c r="A585" s="231" t="str">
        <f>IF(B585&gt;0,VLOOKUP(B585,КВСР!A378:B1543,2),IF(C585&gt;0,VLOOKUP(C585,КФСР!A378:B1890,2),IF(D585&gt;0,VLOOKUP(D585,КЦСР!A378:B4382,2),IF(E585&gt;0,VLOOKUP(E585,КВР!A378:B2309,2)))))</f>
        <v>ОЦП "Развитие МТБ учреждений культуры ЯО"</v>
      </c>
      <c r="B585" s="233"/>
      <c r="C585" s="234"/>
      <c r="D585" s="235">
        <v>5226102</v>
      </c>
      <c r="E585" s="265"/>
      <c r="F585" s="221">
        <v>248012</v>
      </c>
      <c r="G585" s="221">
        <f t="shared" si="69"/>
        <v>248012</v>
      </c>
    </row>
    <row r="586" spans="1:7" s="21" customFormat="1" ht="63">
      <c r="A586" s="231" t="str">
        <f>IF(B586&gt;0,VLOOKUP(B586,КВСР!A379:B1544,2),IF(C586&gt;0,VLOOKUP(C586,КФСР!A379:B1891,2),IF(D586&gt;0,VLOOKUP(D586,КЦСР!A379:B4383,2),IF(E586&gt;0,VLOOKUP(E586,КВР!A379:B2310,2)))))</f>
        <v>Субсидии на осуществление капитальных вложений в объекты капитального строительства бюджетным учреждениям</v>
      </c>
      <c r="B586" s="233"/>
      <c r="C586" s="234"/>
      <c r="D586" s="235"/>
      <c r="E586" s="236">
        <v>464</v>
      </c>
      <c r="F586" s="221">
        <v>248012</v>
      </c>
      <c r="G586" s="221">
        <v>248012</v>
      </c>
    </row>
    <row r="587" spans="1:7" s="21" customFormat="1" ht="47.25">
      <c r="A587" s="231" t="str">
        <f>IF(B587&gt;0,VLOOKUP(B587,КВСР!A358:B1523,2),IF(C588&gt;0,VLOOKUP(C588,КФСР!A358:B1870,2),IF(D587&gt;0,VLOOKUP(D587,КЦСР!A358:B4362,2),IF(#REF!&gt;0,VLOOKUP(#REF!,КВР!A358:B2289,2)))))</f>
        <v>Региональная программа "Социальная поддержка пожилых граждан в Ярославской области"</v>
      </c>
      <c r="B587" s="233"/>
      <c r="C587" s="234"/>
      <c r="D587" s="235">
        <v>5226900</v>
      </c>
      <c r="E587" s="236"/>
      <c r="F587" s="221">
        <v>22300</v>
      </c>
      <c r="G587" s="221">
        <f t="shared" ref="G587:G588" si="70">G588</f>
        <v>22300</v>
      </c>
    </row>
    <row r="588" spans="1:7" s="21" customFormat="1" ht="63">
      <c r="A588" s="231" t="str">
        <f>IF(B588&gt;0,VLOOKUP(B588,КВСР!A359:B1524,2),IF(C589&gt;0,VLOOKUP(C589,КФСР!A359:B1871,2),IF(D588&gt;0,VLOOKUP(D588,КЦСР!A359:B4363,2),IF(E587&gt;0,VLOOKUP(E587,КВР!A359:B2290,2)))))</f>
        <v>Региональная программа "Социальная поддержка пожилых граждан в Ярославской области" в сфере культуры</v>
      </c>
      <c r="B588" s="233"/>
      <c r="C588" s="234"/>
      <c r="D588" s="235">
        <v>5226906</v>
      </c>
      <c r="E588" s="265"/>
      <c r="F588" s="221">
        <v>22300</v>
      </c>
      <c r="G588" s="221">
        <f t="shared" si="70"/>
        <v>22300</v>
      </c>
    </row>
    <row r="589" spans="1:7" s="21" customFormat="1" ht="31.5">
      <c r="A589" s="231" t="str">
        <f>IF(B589&gt;0,VLOOKUP(B589,КВСР!A360:B1525,2),IF(C589&gt;0,VLOOKUP(C589,КФСР!A360:B1872,2),IF(D589&gt;0,VLOOKUP(D589,КЦСР!A360:B4364,2),IF(E589&gt;0,VLOOKUP(E589,КВР!A360:B2291,2)))))</f>
        <v>Субсидии бюджетным учреждениям на иные цели</v>
      </c>
      <c r="B589" s="233"/>
      <c r="C589" s="234"/>
      <c r="D589" s="235"/>
      <c r="E589" s="236">
        <v>612</v>
      </c>
      <c r="F589" s="221">
        <v>22300</v>
      </c>
      <c r="G589" s="221">
        <v>22300</v>
      </c>
    </row>
    <row r="590" spans="1:7" s="21" customFormat="1" ht="31.5">
      <c r="A590" s="231" t="str">
        <f>IF(B590&gt;0,VLOOKUP(B590,КВСР!A361:B1526,2),IF(C590&gt;0,VLOOKUP(C590,КФСР!A361:B1873,2),IF(D590&gt;0,VLOOKUP(D590,КЦСР!A361:B4365,2),IF(E590&gt;0,VLOOKUP(E590,КВР!A361:B2292,2)))))</f>
        <v>Областная целевая программа "Доступная среда"</v>
      </c>
      <c r="B590" s="233"/>
      <c r="C590" s="234"/>
      <c r="D590" s="235">
        <v>5227200</v>
      </c>
      <c r="E590" s="236"/>
      <c r="F590" s="221">
        <v>70579</v>
      </c>
      <c r="G590" s="221">
        <f t="shared" ref="G590:G591" si="71">G591</f>
        <v>70579</v>
      </c>
    </row>
    <row r="591" spans="1:7" s="21" customFormat="1" ht="47.25">
      <c r="A591" s="231" t="str">
        <f>IF(B591&gt;0,VLOOKUP(B591,КВСР!A362:B1527,2),IF(C591&gt;0,VLOOKUP(C591,КФСР!A362:B1874,2),IF(D591&gt;0,VLOOKUP(D591,КЦСР!A362:B4366,2),IF(E591&gt;0,VLOOKUP(E591,КВР!A362:B2293,2)))))</f>
        <v>Реализацию областной целевой программы "Доступная среда" в сфере культуры</v>
      </c>
      <c r="B591" s="233"/>
      <c r="C591" s="234"/>
      <c r="D591" s="235">
        <v>5227211</v>
      </c>
      <c r="E591" s="265"/>
      <c r="F591" s="221">
        <v>70579</v>
      </c>
      <c r="G591" s="221">
        <f t="shared" si="71"/>
        <v>70579</v>
      </c>
    </row>
    <row r="592" spans="1:7" s="21" customFormat="1" ht="31.5">
      <c r="A592" s="231" t="str">
        <f>IF(B592&gt;0,VLOOKUP(B592,КВСР!A363:B1528,2),IF(C592&gt;0,VLOOKUP(C592,КФСР!A363:B1875,2),IF(D592&gt;0,VLOOKUP(D592,КЦСР!A363:B4367,2),IF(E592&gt;0,VLOOKUP(E592,КВР!A363:B2294,2)))))</f>
        <v>Субсидии бюджетным учреждениям на иные цели</v>
      </c>
      <c r="B592" s="233"/>
      <c r="C592" s="234"/>
      <c r="D592" s="235"/>
      <c r="E592" s="236">
        <v>612</v>
      </c>
      <c r="F592" s="221">
        <v>70579</v>
      </c>
      <c r="G592" s="221">
        <v>70579</v>
      </c>
    </row>
    <row r="593" spans="1:7" s="21" customFormat="1" ht="31.5">
      <c r="A593" s="231" t="str">
        <f>IF(B593&gt;0,VLOOKUP(B593,КВСР!A364:B1529,2),IF(C593&gt;0,VLOOKUP(C593,КФСР!A364:B1876,2),IF(D593&gt;0,VLOOKUP(D593,КЦСР!A364:B4368,2),IF(E593&gt;0,VLOOKUP(E593,КВР!A364:B2295,2)))))</f>
        <v>Целевые программы муниципальных образований</v>
      </c>
      <c r="B593" s="233"/>
      <c r="C593" s="234"/>
      <c r="D593" s="235">
        <v>7950000</v>
      </c>
      <c r="E593" s="236"/>
      <c r="F593" s="221">
        <v>700000</v>
      </c>
      <c r="G593" s="221">
        <f t="shared" ref="G593:G594" si="72">G594</f>
        <v>700000</v>
      </c>
    </row>
    <row r="594" spans="1:7" s="21" customFormat="1" ht="47.25">
      <c r="A594" s="231" t="str">
        <f>IF(B594&gt;0,VLOOKUP(B594,КВСР!A364:B1529,2),IF(C594&gt;0,VLOOKUP(C594,КФСР!A364:B1876,2),IF(D594&gt;0,VLOOKUP(D594,КЦСР!A364:B4368,2),IF(E594&gt;0,VLOOKUP(E594,КВР!A364:B2295,2)))))</f>
        <v>МЦП "Развитие культуры Тутаевского муниципального района на 2011-2013 годы"</v>
      </c>
      <c r="B594" s="233"/>
      <c r="C594" s="234"/>
      <c r="D594" s="235">
        <v>7952000</v>
      </c>
      <c r="E594" s="265"/>
      <c r="F594" s="221">
        <v>700000</v>
      </c>
      <c r="G594" s="221">
        <f t="shared" si="72"/>
        <v>700000</v>
      </c>
    </row>
    <row r="595" spans="1:7" ht="31.5">
      <c r="A595" s="231" t="str">
        <f>IF(B595&gt;0,VLOOKUP(B595,КВСР!A365:B1530,2),IF(C595&gt;0,VLOOKUP(C595,КФСР!A365:B1877,2),IF(D595&gt;0,VLOOKUP(D595,КЦСР!A365:B4369,2),IF(E595&gt;0,VLOOKUP(E595,КВР!A365:B2296,2)))))</f>
        <v>Субсидии бюджетным учреждениям на иные цели</v>
      </c>
      <c r="B595" s="233"/>
      <c r="C595" s="234"/>
      <c r="D595" s="235"/>
      <c r="E595" s="236">
        <v>612</v>
      </c>
      <c r="F595" s="221">
        <v>700000</v>
      </c>
      <c r="G595" s="221">
        <v>700000</v>
      </c>
    </row>
    <row r="596" spans="1:7" s="21" customFormat="1" ht="31.5">
      <c r="A596" s="231" t="str">
        <f>IF(B596&gt;0,VLOOKUP(B596,КВСР!A366:B1531,2),IF(C596&gt;0,VLOOKUP(C596,КФСР!A366:B1878,2),IF(D596&gt;0,VLOOKUP(D596,КЦСР!A366:B4370,2),IF(E596&gt;0,VLOOKUP(E596,КВР!A366:B2297,2)))))</f>
        <v>Другие вопросы в области культуры, кинематографии</v>
      </c>
      <c r="B596" s="233"/>
      <c r="C596" s="234">
        <v>804</v>
      </c>
      <c r="D596" s="235"/>
      <c r="E596" s="236"/>
      <c r="F596" s="221">
        <v>11016764</v>
      </c>
      <c r="G596" s="221">
        <f>G598+G607+G610+G617</f>
        <v>10149906</v>
      </c>
    </row>
    <row r="597" spans="1:7" s="21" customFormat="1" ht="78.75">
      <c r="A597" s="231" t="str">
        <f>IF(B597&gt;0,VLOOKUP(B597,КВСР!A358:B1523,2),IF(C598&gt;0,VLOOKUP(C598,КФСР!A358:B1870,2),IF(D597&gt;0,VLOOKUP(D597,КЦСР!A358:B4362,2),IF(E596&gt;0,VLOOKUP(E596,КВР!A358:B2289,2)))))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597" s="233"/>
      <c r="C597" s="245"/>
      <c r="D597" s="235">
        <v>20000</v>
      </c>
      <c r="E597" s="236"/>
      <c r="F597" s="221">
        <v>4490800</v>
      </c>
      <c r="G597" s="221">
        <f t="shared" ref="G597" si="73">G598</f>
        <v>4382454</v>
      </c>
    </row>
    <row r="598" spans="1:7" s="21" customFormat="1">
      <c r="A598" s="231" t="str">
        <f>IF(B598&gt;0,VLOOKUP(B598,КВСР!A359:B1524,2),IF(C599&gt;0,VLOOKUP(C599,КФСР!A359:B1871,2),IF(D598&gt;0,VLOOKUP(D598,КЦСР!A359:B4363,2),IF(E597&gt;0,VLOOKUP(E597,КВР!A359:B2290,2)))))</f>
        <v>Центральный аппарат</v>
      </c>
      <c r="B598" s="233"/>
      <c r="C598" s="234"/>
      <c r="D598" s="235">
        <v>20400</v>
      </c>
      <c r="E598" s="265"/>
      <c r="F598" s="221">
        <v>4490800</v>
      </c>
      <c r="G598" s="221">
        <f>SUM(G599:G604)</f>
        <v>4382454</v>
      </c>
    </row>
    <row r="599" spans="1:7" s="21" customFormat="1" ht="23.25" customHeight="1">
      <c r="A599" s="231" t="str">
        <f>IF(B599&gt;0,VLOOKUP(B599,КВСР!A360:B1525,2),IF(C600&gt;0,VLOOKUP(C600,КФСР!A360:B1872,2),IF(D599&gt;0,VLOOKUP(D599,КЦСР!A360:B4364,2),IF(E599&gt;0,VLOOKUP(E599,КВР!A360:B2291,2)))))</f>
        <v>Фонд оплаты труда и страховые взносы</v>
      </c>
      <c r="B599" s="233"/>
      <c r="C599" s="234"/>
      <c r="D599" s="235"/>
      <c r="E599" s="236">
        <v>121</v>
      </c>
      <c r="F599" s="221">
        <v>3816834</v>
      </c>
      <c r="G599" s="221">
        <v>3753235</v>
      </c>
    </row>
    <row r="600" spans="1:7" s="21" customFormat="1" ht="31.5">
      <c r="A600" s="231" t="str">
        <f>IF(B600&gt;0,VLOOKUP(B600,КВСР!A361:B1526,2),IF(C601&gt;0,VLOOKUP(C601,КФСР!A361:B1873,2),IF(D600&gt;0,VLOOKUP(D600,КЦСР!A361:B4365,2),IF(E600&gt;0,VLOOKUP(E600,КВР!A361:B2292,2)))))</f>
        <v>Иные выплаты персоналу, за исключением фонда оплаты труда</v>
      </c>
      <c r="B600" s="233"/>
      <c r="C600" s="234"/>
      <c r="D600" s="235"/>
      <c r="E600" s="236">
        <v>122</v>
      </c>
      <c r="F600" s="221">
        <v>634</v>
      </c>
      <c r="G600" s="221">
        <v>400</v>
      </c>
    </row>
    <row r="601" spans="1:7" s="21" customFormat="1" ht="47.25">
      <c r="A601" s="231" t="str">
        <f>IF(B601&gt;0,VLOOKUP(B601,КВСР!A362:B1527,2),IF(C602&gt;0,VLOOKUP(C602,КФСР!A362:B1874,2),IF(D601&gt;0,VLOOKUP(D601,КЦСР!A362:B4366,2),IF(E601&gt;0,VLOOKUP(E601,КВР!A362:B2293,2)))))</f>
        <v>Закупка товаров, работ, услуг в сфере информационно-коммуникационных технологий</v>
      </c>
      <c r="B601" s="233"/>
      <c r="C601" s="234"/>
      <c r="D601" s="235"/>
      <c r="E601" s="236">
        <v>242</v>
      </c>
      <c r="F601" s="221">
        <v>167625</v>
      </c>
      <c r="G601" s="221">
        <v>159794</v>
      </c>
    </row>
    <row r="602" spans="1:7" s="21" customFormat="1" ht="31.5">
      <c r="A602" s="231" t="str">
        <f>IF(B602&gt;0,VLOOKUP(B602,КВСР!A363:B1528,2),IF(C603&gt;0,VLOOKUP(C603,КФСР!A363:B1875,2),IF(D602&gt;0,VLOOKUP(D602,КЦСР!A363:B4367,2),IF(E602&gt;0,VLOOKUP(E602,КВР!A363:B2294,2)))))</f>
        <v>Прочая закупка товаров, работ и услуг для государственных нужд</v>
      </c>
      <c r="B602" s="233"/>
      <c r="C602" s="234"/>
      <c r="D602" s="235"/>
      <c r="E602" s="236">
        <v>244</v>
      </c>
      <c r="F602" s="221">
        <v>235249</v>
      </c>
      <c r="G602" s="221">
        <v>200091</v>
      </c>
    </row>
    <row r="603" spans="1:7" s="21" customFormat="1" ht="31.5">
      <c r="A603" s="231" t="str">
        <f>IF(B603&gt;0,VLOOKUP(B603,КВСР!A364:B1529,2),IF(C604&gt;0,VLOOKUP(C604,КФСР!A364:B1876,2),IF(D603&gt;0,VLOOKUP(D603,КЦСР!A364:B4368,2),IF(E603&gt;0,VLOOKUP(E603,КВР!A364:B2295,2)))))</f>
        <v>Уплата налога на имущество организаций и земельного налога</v>
      </c>
      <c r="B603" s="233"/>
      <c r="C603" s="234"/>
      <c r="D603" s="235"/>
      <c r="E603" s="236">
        <v>851</v>
      </c>
      <c r="F603" s="221">
        <v>256200</v>
      </c>
      <c r="G603" s="221">
        <v>255333</v>
      </c>
    </row>
    <row r="604" spans="1:7" s="21" customFormat="1" ht="31.5">
      <c r="A604" s="231" t="str">
        <f>IF(B604&gt;0,VLOOKUP(B604,КВСР!A365:B1530,2),IF(C604&gt;0,VLOOKUP(C604,КФСР!A365:B1877,2),IF(D604&gt;0,VLOOKUP(D604,КЦСР!A365:B4369,2),IF(E604&gt;0,VLOOKUP(E604,КВР!A365:B2296,2)))))</f>
        <v>Уплата прочих налогов, сборов и иных обязательных платежей</v>
      </c>
      <c r="B604" s="233"/>
      <c r="C604" s="234"/>
      <c r="D604" s="235"/>
      <c r="E604" s="236">
        <v>852</v>
      </c>
      <c r="F604" s="221">
        <v>14258</v>
      </c>
      <c r="G604" s="221">
        <v>13601</v>
      </c>
    </row>
    <row r="605" spans="1:7" s="21" customFormat="1" ht="47.25">
      <c r="A605" s="231" t="str">
        <f>IF(B605&gt;0,VLOOKUP(B605,КВСР!A366:B1531,2),IF(C605&gt;0,VLOOKUP(C605,КФСР!A366:B1878,2),IF(D605&gt;0,VLOOKUP(D605,КЦСР!A366:B4370,2),IF(E605&gt;0,VLOOKUP(E605,КВР!A366:B2297,2)))))</f>
        <v>Реализация государственных функций, связанных с общегосударственным управлением</v>
      </c>
      <c r="B605" s="233"/>
      <c r="C605" s="234"/>
      <c r="D605" s="235">
        <v>920000</v>
      </c>
      <c r="E605" s="236"/>
      <c r="F605" s="221">
        <v>1530339</v>
      </c>
      <c r="G605" s="221">
        <f t="shared" ref="G605:G606" si="74">G606</f>
        <v>819563</v>
      </c>
    </row>
    <row r="606" spans="1:7" s="21" customFormat="1" ht="63">
      <c r="A606" s="231" t="str">
        <f>IF(B606&gt;0,VLOOKUP(B606,КВСР!A367:B1532,2),IF(C606&gt;0,VLOOKUP(C606,КФСР!A367:B1879,2),IF(D606&gt;0,VLOOKUP(D606,КЦСР!A367:B4371,2),IF(E606&gt;0,VLOOKUP(E606,КВР!A367:B2298,2)))))</f>
        <v>Программа энергосбережения и повышения энергетической эффективности на период до 2020 года</v>
      </c>
      <c r="B606" s="233"/>
      <c r="C606" s="234"/>
      <c r="D606" s="235">
        <v>923400</v>
      </c>
      <c r="E606" s="236"/>
      <c r="F606" s="221">
        <v>1530339</v>
      </c>
      <c r="G606" s="221">
        <f t="shared" si="74"/>
        <v>819563</v>
      </c>
    </row>
    <row r="607" spans="1:7" s="21" customFormat="1" ht="117.75" customHeight="1">
      <c r="A607" s="231" t="str">
        <f>IF(B607&gt;0,VLOOKUP(B607,КВСР!A368:B1533,2),IF(C607&gt;0,VLOOKUP(C607,КФСР!A368:B1880,2),IF(D607&gt;0,VLOOKUP(D607,КЦСР!A368:B4372,2),IF(E607&gt;0,VLOOKUP(E607,КВР!A368:B2299,2)))))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607" s="233"/>
      <c r="C607" s="234"/>
      <c r="D607" s="235">
        <v>923403</v>
      </c>
      <c r="E607" s="265"/>
      <c r="F607" s="221">
        <v>1530339</v>
      </c>
      <c r="G607" s="221">
        <f>SUM(G608:G609)</f>
        <v>819563</v>
      </c>
    </row>
    <row r="608" spans="1:7" s="21" customFormat="1" ht="31.5">
      <c r="A608" s="231" t="str">
        <f>IF(B608&gt;0,VLOOKUP(B608,КВСР!A369:B1534,2),IF(C608&gt;0,VLOOKUP(C608,КФСР!A369:B1881,2),IF(D608&gt;0,VLOOKUP(D608,КЦСР!A369:B4373,2),IF(E608&gt;0,VLOOKUP(E608,КВР!A369:B2300,2)))))</f>
        <v>Прочая закупка товаров, работ и услуг для государственных нужд</v>
      </c>
      <c r="B608" s="233"/>
      <c r="C608" s="234"/>
      <c r="D608" s="235"/>
      <c r="E608" s="236">
        <v>244</v>
      </c>
      <c r="F608" s="221">
        <v>6990</v>
      </c>
      <c r="G608" s="221">
        <v>6990</v>
      </c>
    </row>
    <row r="609" spans="1:19" s="21" customFormat="1" ht="31.5">
      <c r="A609" s="231" t="str">
        <f>IF(B609&gt;0,VLOOKUP(B609,КВСР!A370:B1535,2),IF(C609&gt;0,VLOOKUP(C609,КФСР!A370:B1882,2),IF(D609&gt;0,VLOOKUP(D609,КЦСР!A370:B4374,2),IF(E609&gt;0,VLOOKUP(E609,КВР!A370:B2301,2)))))</f>
        <v>Субсидии бюджетным учреждениям на иные цели</v>
      </c>
      <c r="B609" s="233"/>
      <c r="C609" s="234"/>
      <c r="D609" s="235"/>
      <c r="E609" s="236">
        <v>612</v>
      </c>
      <c r="F609" s="221">
        <v>1523349</v>
      </c>
      <c r="G609" s="221">
        <v>812573</v>
      </c>
    </row>
    <row r="610" spans="1:19" s="21" customFormat="1" ht="96.75" customHeight="1">
      <c r="A610" s="231" t="str">
        <f>IF(B610&gt;0,VLOOKUP(B610,КВСР!A365:B1530,2),IF(C610&gt;0,VLOOKUP(C610,КФСР!A365:B1877,2),IF(D610&gt;0,VLOOKUP(D610,КЦСР!A365:B4369,2),IF(#REF!&gt;0,VLOOKUP(#REF!,КВР!A365:B2296,2)))))</f>
        <v>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v>
      </c>
      <c r="B610" s="233"/>
      <c r="C610" s="234"/>
      <c r="D610" s="235">
        <v>4520000</v>
      </c>
      <c r="E610" s="236"/>
      <c r="F610" s="221">
        <v>4814000</v>
      </c>
      <c r="G610" s="221">
        <f>SUM(G611:G614)</f>
        <v>4766264</v>
      </c>
    </row>
    <row r="611" spans="1:19" s="21" customFormat="1" ht="21.75" customHeight="1">
      <c r="A611" s="231" t="str">
        <f>IF(B611&gt;0,VLOOKUP(B611,КВСР!A367:B1532,2),IF(C612&gt;0,VLOOKUP(C612,КФСР!A367:B1879,2),IF(D611&gt;0,VLOOKUP(D611,КЦСР!A367:B4371,2),IF(E611&gt;0,VLOOKUP(E611,КВР!A367:B2298,2)))))</f>
        <v>Фонд оплаты труда и страховые взносы</v>
      </c>
      <c r="B611" s="233"/>
      <c r="C611" s="234"/>
      <c r="D611" s="235"/>
      <c r="E611" s="236">
        <v>121</v>
      </c>
      <c r="F611" s="221">
        <v>4218000</v>
      </c>
      <c r="G611" s="221">
        <v>4201715</v>
      </c>
    </row>
    <row r="612" spans="1:19" s="21" customFormat="1" ht="31.5">
      <c r="A612" s="231" t="str">
        <f>IF(B612&gt;0,VLOOKUP(B612,КВСР!A368:B1533,2),IF(C613&gt;0,VLOOKUP(C613,КФСР!A368:B1880,2),IF(D612&gt;0,VLOOKUP(D612,КЦСР!A368:B4372,2),IF(E612&gt;0,VLOOKUP(E612,КВР!A368:B2299,2)))))</f>
        <v>Иные выплаты персоналу, за исключением фонда оплаты труда</v>
      </c>
      <c r="B612" s="233"/>
      <c r="C612" s="234"/>
      <c r="D612" s="235"/>
      <c r="E612" s="236">
        <v>122</v>
      </c>
      <c r="F612" s="221">
        <v>1000</v>
      </c>
      <c r="G612" s="221">
        <v>601</v>
      </c>
    </row>
    <row r="613" spans="1:19" s="21" customFormat="1" ht="47.25">
      <c r="A613" s="231" t="str">
        <f>IF(B613&gt;0,VLOOKUP(B613,КВСР!A369:B1534,2),IF(C614&gt;0,VLOOKUP(C614,КФСР!A369:B1881,2),IF(D613&gt;0,VLOOKUP(D613,КЦСР!A369:B4373,2),IF(E613&gt;0,VLOOKUP(E613,КВР!A369:B2300,2)))))</f>
        <v>Закупка товаров, работ, услуг в сфере информационно-коммуникационных технологий</v>
      </c>
      <c r="B613" s="233"/>
      <c r="C613" s="234"/>
      <c r="D613" s="235"/>
      <c r="E613" s="236">
        <v>242</v>
      </c>
      <c r="F613" s="221">
        <v>224000</v>
      </c>
      <c r="G613" s="221">
        <v>199582</v>
      </c>
    </row>
    <row r="614" spans="1:19" s="21" customFormat="1" ht="31.5">
      <c r="A614" s="231" t="str">
        <f>IF(B614&gt;0,VLOOKUP(B614,КВСР!A370:B1535,2),IF(C615&gt;0,VLOOKUP(C615,КФСР!A370:B1882,2),IF(D614&gt;0,VLOOKUP(D614,КЦСР!A370:B4374,2),IF(E614&gt;0,VLOOKUP(E614,КВР!A370:B2301,2)))))</f>
        <v>Прочая закупка товаров, работ и услуг для государственных нужд</v>
      </c>
      <c r="B614" s="233"/>
      <c r="C614" s="234"/>
      <c r="D614" s="235"/>
      <c r="E614" s="236">
        <v>244</v>
      </c>
      <c r="F614" s="221">
        <v>371000</v>
      </c>
      <c r="G614" s="221">
        <v>364366</v>
      </c>
    </row>
    <row r="615" spans="1:19" s="21" customFormat="1" ht="31.5">
      <c r="A615" s="231" t="str">
        <f>IF(B615&gt;0,VLOOKUP(B615,КВСР!A371:B1536,2),IF(C616&gt;0,VLOOKUP(C616,КФСР!A371:B1883,2),IF(D615&gt;0,VLOOKUP(D615,КЦСР!A371:B4375,2),IF(#REF!&gt;0,VLOOKUP(#REF!,КВР!A371:B2302,2)))))</f>
        <v>Иные безвозмездные и безвозвратные перечисления</v>
      </c>
      <c r="B615" s="233"/>
      <c r="C615" s="234"/>
      <c r="D615" s="235">
        <v>5200000</v>
      </c>
      <c r="E615" s="236"/>
      <c r="F615" s="221">
        <v>181625</v>
      </c>
      <c r="G615" s="221">
        <f t="shared" ref="G615:G616" si="75">G616</f>
        <v>181625</v>
      </c>
    </row>
    <row r="616" spans="1:19" s="21" customFormat="1" ht="47.25">
      <c r="A616" s="231" t="str">
        <f>IF(B616&gt;0,VLOOKUP(B616,КВСР!A360:B1525,2),IF(C617&gt;0,VLOOKUP(C617,КФСР!A360:B1872,2),IF(D616&gt;0,VLOOKUP(D616,КЦСР!A360:B4364,2),IF(E615&gt;0,VLOOKUP(E615,КВР!A360:B2291,2)))))</f>
        <v>Реализация региональных программ повышения эффективности бюджетных расходов</v>
      </c>
      <c r="B616" s="233"/>
      <c r="C616" s="234"/>
      <c r="D616" s="235">
        <v>5202400</v>
      </c>
      <c r="E616" s="236"/>
      <c r="F616" s="221">
        <v>181625</v>
      </c>
      <c r="G616" s="221">
        <f t="shared" si="75"/>
        <v>181625</v>
      </c>
    </row>
    <row r="617" spans="1:19" s="21" customFormat="1" ht="47.25">
      <c r="A617" s="231" t="str">
        <f>IF(B617&gt;0,VLOOKUP(B617,КВСР!A361:B1526,2),IF(C619&gt;0,VLOOKUP(C619,КФСР!A361:B1873,2),IF(D617&gt;0,VLOOKUP(D617,КЦСР!A361:B4365,2),IF(E616&gt;0,VLOOKUP(E616,КВР!A361:B2292,2)))))</f>
        <v>Реализация муниципальной программы "Повышение эффективности бюджетных расходов"</v>
      </c>
      <c r="B617" s="233"/>
      <c r="C617" s="234"/>
      <c r="D617" s="235">
        <v>5202402</v>
      </c>
      <c r="E617" s="265"/>
      <c r="F617" s="221">
        <v>181625</v>
      </c>
      <c r="G617" s="221">
        <f>SUM(G618:G621)</f>
        <v>181625</v>
      </c>
    </row>
    <row r="618" spans="1:19" s="21" customFormat="1" ht="18" customHeight="1">
      <c r="A618" s="231" t="str">
        <f>IF(B618&gt;0,VLOOKUP(B618,КВСР!A361:B1526,2),IF(C619&gt;0,VLOOKUP(C619,КФСР!A361:B1873,2),IF(D618&gt;0,VLOOKUP(D618,КЦСР!A361:B4365,2),IF(E618&gt;0,VLOOKUP(E618,КВР!A361:B2292,2)))))</f>
        <v>Фонд оплаты труда и страховые взносы</v>
      </c>
      <c r="B618" s="233"/>
      <c r="C618" s="234"/>
      <c r="D618" s="235"/>
      <c r="E618" s="236">
        <v>121</v>
      </c>
      <c r="F618" s="221">
        <v>73625</v>
      </c>
      <c r="G618" s="221">
        <v>73625</v>
      </c>
    </row>
    <row r="619" spans="1:19" s="21" customFormat="1" ht="47.25">
      <c r="A619" s="231" t="str">
        <f>IF(B619&gt;0,VLOOKUP(B619,КВСР!A362:B1527,2),IF(C620&gt;0,VLOOKUP(C620,КФСР!A362:B1874,2),IF(D619&gt;0,VLOOKUP(D619,КЦСР!A362:B4366,2),IF(E619&gt;0,VLOOKUP(E619,КВР!A362:B2293,2)))))</f>
        <v>Закупка товаров, работ, услуг в сфере информационно-коммуникационных технологий</v>
      </c>
      <c r="B619" s="233"/>
      <c r="C619" s="234"/>
      <c r="D619" s="235"/>
      <c r="E619" s="236">
        <v>242</v>
      </c>
      <c r="F619" s="221">
        <v>18000</v>
      </c>
      <c r="G619" s="221">
        <v>18000</v>
      </c>
    </row>
    <row r="620" spans="1:19" s="21" customFormat="1" ht="31.5">
      <c r="A620" s="231" t="str">
        <f>IF(B620&gt;0,VLOOKUP(B620,КВСР!A363:B1528,2),IF(C620&gt;0,VLOOKUP(C620,КФСР!A363:B1875,2),IF(D620&gt;0,VLOOKUP(D620,КЦСР!A363:B4367,2),IF(E620&gt;0,VLOOKUP(E620,КВР!A363:B2294,2)))))</f>
        <v>Прочая закупка товаров, работ и услуг для государственных нужд</v>
      </c>
      <c r="B620" s="233"/>
      <c r="C620" s="234"/>
      <c r="D620" s="235"/>
      <c r="E620" s="236">
        <v>244</v>
      </c>
      <c r="F620" s="221">
        <v>40000</v>
      </c>
      <c r="G620" s="221">
        <v>40000</v>
      </c>
    </row>
    <row r="621" spans="1:19" s="21" customFormat="1" ht="31.5">
      <c r="A621" s="231" t="str">
        <f>IF(B621&gt;0,VLOOKUP(B621,КВСР!A364:B1529,2),IF(C621&gt;0,VLOOKUP(C621,КФСР!A364:B1876,2),IF(D621&gt;0,VLOOKUP(D621,КЦСР!A364:B4368,2),IF(E621&gt;0,VLOOKUP(E621,КВР!A364:B2295,2)))))</f>
        <v>Субсидии бюджетным учреждениям на иные цели</v>
      </c>
      <c r="B621" s="233"/>
      <c r="C621" s="234"/>
      <c r="D621" s="235"/>
      <c r="E621" s="236">
        <v>612</v>
      </c>
      <c r="F621" s="221">
        <v>50000</v>
      </c>
      <c r="G621" s="221">
        <v>50000</v>
      </c>
    </row>
    <row r="622" spans="1:19">
      <c r="A622" s="231" t="str">
        <f>IF(B622&gt;0,VLOOKUP(B622,КВСР!A364:B1529,2),IF(C622&gt;0,VLOOKUP(C622,КФСР!A364:B1876,2),IF(D622&gt;0,VLOOKUP(D622,КЦСР!A364:B4368,2),IF(E622&gt;0,VLOOKUP(E622,КВР!A364:B2295,2)))))</f>
        <v>Охрана семьи и детства</v>
      </c>
      <c r="B622" s="233"/>
      <c r="C622" s="234">
        <v>1004</v>
      </c>
      <c r="D622" s="235"/>
      <c r="E622" s="236"/>
      <c r="F622" s="221">
        <v>63300</v>
      </c>
      <c r="G622" s="221">
        <f t="shared" ref="G622:G625" si="76">G623</f>
        <v>63300</v>
      </c>
    </row>
    <row r="623" spans="1:19">
      <c r="A623" s="231" t="str">
        <f>IF(B623&gt;0,VLOOKUP(B623,КВСР!A365:B1530,2),IF(C623&gt;0,VLOOKUP(C623,КФСР!A365:B1877,2),IF(D623&gt;0,VLOOKUP(D623,КЦСР!A365:B4369,2),IF(E623&gt;0,VLOOKUP(E623,КВР!A365:B2296,2)))))</f>
        <v>Региональные целевые программы</v>
      </c>
      <c r="B623" s="233"/>
      <c r="C623" s="243"/>
      <c r="D623" s="235">
        <v>5220000</v>
      </c>
      <c r="E623" s="236"/>
      <c r="F623" s="221">
        <v>63300</v>
      </c>
      <c r="G623" s="221">
        <f t="shared" si="76"/>
        <v>63300</v>
      </c>
    </row>
    <row r="624" spans="1:19" s="21" customFormat="1" ht="31.5">
      <c r="A624" s="231" t="str">
        <f>IF(B624&gt;0,VLOOKUP(B624,КВСР!A366:B1531,2),IF(C624&gt;0,VLOOKUP(C624,КФСР!A366:B1878,2),IF(D624&gt;0,VLOOKUP(D624,КЦСР!A366:B4370,2),IF(E624&gt;0,VLOOKUP(E624,КВР!A366:B2297,2)))))</f>
        <v>Областная комплексная целевая программа "Семья и дети Ярославии"</v>
      </c>
      <c r="B624" s="233"/>
      <c r="C624" s="234"/>
      <c r="D624" s="235">
        <v>5221300</v>
      </c>
      <c r="E624" s="236"/>
      <c r="F624" s="221">
        <v>63300</v>
      </c>
      <c r="G624" s="221">
        <f t="shared" si="76"/>
        <v>63300</v>
      </c>
      <c r="I624" s="16"/>
      <c r="J624" s="16"/>
      <c r="K624" s="16"/>
      <c r="L624" s="16"/>
      <c r="M624" s="16"/>
      <c r="N624" s="16"/>
      <c r="O624" s="16"/>
      <c r="P624" s="16"/>
      <c r="Q624" s="16"/>
      <c r="R624" s="16"/>
      <c r="S624" s="16"/>
    </row>
    <row r="625" spans="1:8" ht="47.25">
      <c r="A625" s="231" t="str">
        <f>IF(B625&gt;0,VLOOKUP(B625,КВСР!A367:B1532,2),IF(C625&gt;0,VLOOKUP(C625,КФСР!A367:B1879,2),IF(D625&gt;0,VLOOKUP(D625,КЦСР!A367:B4371,2),IF(E625&gt;0,VLOOKUP(E625,КВР!A367:B2298,2)))))</f>
        <v>Реализация подпрограмм "Семья", "Дети-сироты", Дети-инвалиды", "Одаренные дети"</v>
      </c>
      <c r="B625" s="233"/>
      <c r="C625" s="234"/>
      <c r="D625" s="235">
        <v>5221306</v>
      </c>
      <c r="E625" s="331"/>
      <c r="F625" s="221">
        <v>63300</v>
      </c>
      <c r="G625" s="221">
        <f t="shared" si="76"/>
        <v>63300</v>
      </c>
    </row>
    <row r="626" spans="1:8" ht="31.5">
      <c r="A626" s="231" t="str">
        <f>IF(B626&gt;0,VLOOKUP(B626,КВСР!A368:B1533,2),IF(C626&gt;0,VLOOKUP(C626,КФСР!A368:B1880,2),IF(D626&gt;0,VLOOKUP(D626,КЦСР!A368:B4372,2),IF(E626&gt;0,VLOOKUP(E626,КВР!A368:B2299,2)))))</f>
        <v>Субсидии бюджетным учреждениям на иные цели</v>
      </c>
      <c r="B626" s="239"/>
      <c r="C626" s="241"/>
      <c r="D626" s="237"/>
      <c r="E626" s="236">
        <v>612</v>
      </c>
      <c r="F626" s="221">
        <v>63300</v>
      </c>
      <c r="G626" s="221">
        <v>63300</v>
      </c>
    </row>
    <row r="627" spans="1:8">
      <c r="A627" s="231" t="str">
        <f>IF(B627&gt;0,VLOOKUP(B627,КВСР!A369:B1534,2),IF(C627&gt;0,VLOOKUP(C627,КФСР!A369:B1881,2),IF(D627&gt;0,VLOOKUP(D627,КЦСР!A369:B4373,2),IF(E627&gt;0,VLOOKUP(E627,КВР!A369:B2300,2)))))</f>
        <v>Периодическая печать и издательства</v>
      </c>
      <c r="B627" s="233"/>
      <c r="C627" s="234">
        <v>1202</v>
      </c>
      <c r="D627" s="235"/>
      <c r="E627" s="236"/>
      <c r="F627" s="221">
        <v>3169995</v>
      </c>
      <c r="G627" s="221">
        <f>G629+G634</f>
        <v>3169995</v>
      </c>
    </row>
    <row r="628" spans="1:8" ht="51.75" customHeight="1">
      <c r="A628" s="231" t="str">
        <f>IF(B628&gt;0,VLOOKUP(B628,КВСР!A380:B1545,2),IF(C629&gt;0,VLOOKUP(C629,КФСР!A380:B1892,2),IF(D628&gt;0,VLOOKUP(D628,КЦСР!A380:B4384,2),IF(E627&gt;0,VLOOKUP(E627,КВР!A380:B2311,2)))))</f>
        <v>Периодические издания, учрежденные органами законодательной и исполнительной власти</v>
      </c>
      <c r="B628" s="233"/>
      <c r="C628" s="243"/>
      <c r="D628" s="235">
        <v>4570000</v>
      </c>
      <c r="E628" s="236"/>
      <c r="F628" s="221">
        <v>3143000</v>
      </c>
      <c r="G628" s="221">
        <f t="shared" ref="G628" si="77">G629</f>
        <v>3143000</v>
      </c>
    </row>
    <row r="629" spans="1:8" ht="31.5">
      <c r="A629" s="231" t="str">
        <f>IF(B629&gt;0,VLOOKUP(B629,КВСР!A381:B1546,2),IF(C630&gt;0,VLOOKUP(C630,КФСР!A381:B1893,2),IF(D629&gt;0,VLOOKUP(D629,КЦСР!A381:B4385,2),IF(E628&gt;0,VLOOKUP(E628,КВР!A381:B2312,2)))))</f>
        <v>Обеспечение деятельности подведомственных учреждений</v>
      </c>
      <c r="B629" s="233"/>
      <c r="C629" s="234"/>
      <c r="D629" s="235">
        <v>4579900</v>
      </c>
      <c r="E629" s="331"/>
      <c r="F629" s="221">
        <v>3143000</v>
      </c>
      <c r="G629" s="221">
        <f>SUM(G630:G631)</f>
        <v>3143000</v>
      </c>
    </row>
    <row r="630" spans="1:8" ht="78.75">
      <c r="A630" s="231" t="str">
        <f>IF(B630&gt;0,VLOOKUP(B630,КВСР!A382:B1547,2),IF(C631&gt;0,VLOOKUP(C631,КФСР!A382:B1894,2),IF(D630&gt;0,VLOOKUP(D630,КЦСР!A382:B4386,2),IF(E630&gt;0,VLOOKUP(E630,КВР!A382:B2313,2)))))</f>
        <v>Субсидии бюджетным учреждениям на финансовое обеспечение государственного задания на оказание государственных услуг (выполнение работ)</v>
      </c>
      <c r="B630" s="233"/>
      <c r="C630" s="234"/>
      <c r="D630" s="235"/>
      <c r="E630" s="236">
        <v>611</v>
      </c>
      <c r="F630" s="221">
        <v>3046000</v>
      </c>
      <c r="G630" s="221">
        <v>3046000</v>
      </c>
    </row>
    <row r="631" spans="1:8" ht="31.5">
      <c r="A631" s="231" t="str">
        <f>IF(B631&gt;0,VLOOKUP(B631,КВСР!A383:B1548,2),IF(C636&gt;0,VLOOKUP(C636,КФСР!A383:B1895,2),IF(D631&gt;0,VLOOKUP(D631,КЦСР!A383:B4387,2),IF(E631&gt;0,VLOOKUP(E631,КВР!A383:B2314,2)))))</f>
        <v>Субсидии бюджетным учреждениям на иные цели</v>
      </c>
      <c r="B631" s="233"/>
      <c r="C631" s="234"/>
      <c r="D631" s="235"/>
      <c r="E631" s="236">
        <v>612</v>
      </c>
      <c r="F631" s="221">
        <v>97000</v>
      </c>
      <c r="G631" s="221">
        <v>97000</v>
      </c>
    </row>
    <row r="632" spans="1:8">
      <c r="A632" s="231" t="str">
        <f>IF(B632&gt;0,VLOOKUP(B632,КВСР!A384:B1549,2),IF(C637&gt;0,VLOOKUP(C637,КФСР!A384:B1896,2),IF(D632&gt;0,VLOOKUP(D632,КЦСР!A384:B4388,2),IF(E632&gt;0,VLOOKUP(E632,КВР!A384:B2315,2)))))</f>
        <v>Сельское хозяйство и рыболовство</v>
      </c>
      <c r="B632" s="233"/>
      <c r="C632" s="234"/>
      <c r="D632" s="235">
        <v>5200000</v>
      </c>
      <c r="E632" s="236"/>
      <c r="F632" s="221">
        <v>26995</v>
      </c>
      <c r="G632" s="221">
        <f t="shared" ref="G632:G634" si="78">G633</f>
        <v>26995</v>
      </c>
    </row>
    <row r="633" spans="1:8" ht="47.25">
      <c r="A633" s="231" t="str">
        <f>IF(B633&gt;0,VLOOKUP(B633,КВСР!A385:B1550,2),IF(C638&gt;0,VLOOKUP(C638,КФСР!A385:B1897,2),IF(D633&gt;0,VLOOKUP(D633,КЦСР!A385:B4389,2),IF(E633&gt;0,VLOOKUP(E633,КВР!A385:B2316,2)))))</f>
        <v>Реализация региональных программ повышения эффективности бюджетных расходов</v>
      </c>
      <c r="B633" s="233"/>
      <c r="C633" s="234"/>
      <c r="D633" s="235">
        <v>5202400</v>
      </c>
      <c r="E633" s="236"/>
      <c r="F633" s="221">
        <v>26995</v>
      </c>
      <c r="G633" s="221">
        <f t="shared" si="78"/>
        <v>26995</v>
      </c>
    </row>
    <row r="634" spans="1:8" ht="47.25">
      <c r="A634" s="231" t="str">
        <f>IF(B634&gt;0,VLOOKUP(B634,КВСР!A386:B1551,2),IF(C639&gt;0,VLOOKUP(C639,КФСР!A386:B1898,2),IF(D634&gt;0,VLOOKUP(D634,КЦСР!A386:B4390,2),IF(E634&gt;0,VLOOKUP(E634,КВР!A386:B2317,2)))))</f>
        <v>Реализация муниципальной программы "Повышение эффективности бюджетных расходов"</v>
      </c>
      <c r="B634" s="233"/>
      <c r="C634" s="234"/>
      <c r="D634" s="235">
        <v>5202402</v>
      </c>
      <c r="E634" s="236"/>
      <c r="F634" s="221">
        <v>26995</v>
      </c>
      <c r="G634" s="221">
        <f t="shared" si="78"/>
        <v>26995</v>
      </c>
    </row>
    <row r="635" spans="1:8" ht="31.5">
      <c r="A635" s="231" t="str">
        <f>IF(B635&gt;0,VLOOKUP(B635,КВСР!A387:B1552,2),IF(C640&gt;0,VLOOKUP(C640,КФСР!A387:B1899,2),IF(D635&gt;0,VLOOKUP(D635,КЦСР!A387:B4391,2),IF(E635&gt;0,VLOOKUP(E635,КВР!A387:B2318,2)))))</f>
        <v>Субсидии бюджетным учреждениям на иные цели</v>
      </c>
      <c r="B635" s="233"/>
      <c r="C635" s="234"/>
      <c r="D635" s="235"/>
      <c r="E635" s="236">
        <v>612</v>
      </c>
      <c r="F635" s="221">
        <v>26995</v>
      </c>
      <c r="G635" s="221">
        <v>26995</v>
      </c>
    </row>
    <row r="636" spans="1:8" ht="47.25">
      <c r="A636" s="226" t="s">
        <v>800</v>
      </c>
      <c r="B636" s="227">
        <v>957</v>
      </c>
      <c r="C636" s="234"/>
      <c r="D636" s="229"/>
      <c r="E636" s="240"/>
      <c r="F636" s="222">
        <v>13193010</v>
      </c>
      <c r="G636" s="222">
        <f>G637+G651+G658+G662</f>
        <v>13193010</v>
      </c>
      <c r="H636" s="180"/>
    </row>
    <row r="637" spans="1:8">
      <c r="A637" s="231" t="s">
        <v>1794</v>
      </c>
      <c r="B637" s="239"/>
      <c r="C637" s="241">
        <v>405</v>
      </c>
      <c r="D637" s="237"/>
      <c r="E637" s="240"/>
      <c r="F637" s="221">
        <v>3449657</v>
      </c>
      <c r="G637" s="221">
        <f>G639+G647</f>
        <v>3449657</v>
      </c>
    </row>
    <row r="638" spans="1:8" ht="78.75">
      <c r="A638" s="231" t="s">
        <v>1526</v>
      </c>
      <c r="B638" s="239"/>
      <c r="C638" s="243"/>
      <c r="D638" s="237">
        <v>20000</v>
      </c>
      <c r="E638" s="240"/>
      <c r="F638" s="221">
        <v>2529195</v>
      </c>
      <c r="G638" s="221">
        <f t="shared" ref="G638" si="79">G639</f>
        <v>2529194</v>
      </c>
    </row>
    <row r="639" spans="1:8">
      <c r="A639" s="231" t="s">
        <v>1063</v>
      </c>
      <c r="B639" s="239"/>
      <c r="C639" s="241"/>
      <c r="D639" s="229">
        <v>20400</v>
      </c>
      <c r="E639" s="331"/>
      <c r="F639" s="83">
        <v>2529195</v>
      </c>
      <c r="G639" s="221">
        <f>SUM(G640:G645)</f>
        <v>2529194</v>
      </c>
    </row>
    <row r="640" spans="1:8" ht="31.5">
      <c r="A640" s="231" t="s">
        <v>1109</v>
      </c>
      <c r="B640" s="239"/>
      <c r="C640" s="241"/>
      <c r="D640" s="237"/>
      <c r="E640" s="236">
        <v>121</v>
      </c>
      <c r="F640" s="221">
        <v>2183696</v>
      </c>
      <c r="G640" s="221">
        <v>2183696</v>
      </c>
    </row>
    <row r="641" spans="1:7" ht="31.5">
      <c r="A641" s="231" t="s">
        <v>1110</v>
      </c>
      <c r="B641" s="239"/>
      <c r="C641" s="241"/>
      <c r="D641" s="237"/>
      <c r="E641" s="236">
        <v>122</v>
      </c>
      <c r="F641" s="221">
        <v>2100</v>
      </c>
      <c r="G641" s="221">
        <v>2100</v>
      </c>
    </row>
    <row r="642" spans="1:7" ht="22.5" customHeight="1">
      <c r="A642" s="231" t="s">
        <v>1656</v>
      </c>
      <c r="B642" s="239"/>
      <c r="C642" s="241"/>
      <c r="D642" s="237"/>
      <c r="E642" s="236">
        <v>242</v>
      </c>
      <c r="F642" s="221">
        <v>89285</v>
      </c>
      <c r="G642" s="221">
        <v>89285</v>
      </c>
    </row>
    <row r="643" spans="1:7" ht="31.5">
      <c r="A643" s="231" t="s">
        <v>1658</v>
      </c>
      <c r="B643" s="239"/>
      <c r="C643" s="241"/>
      <c r="D643" s="237"/>
      <c r="E643" s="236">
        <v>244</v>
      </c>
      <c r="F643" s="221">
        <v>211729</v>
      </c>
      <c r="G643" s="221">
        <v>211728</v>
      </c>
    </row>
    <row r="644" spans="1:7" ht="31.5">
      <c r="A644" s="231" t="s">
        <v>1176</v>
      </c>
      <c r="B644" s="239"/>
      <c r="C644" s="241"/>
      <c r="D644" s="237"/>
      <c r="E644" s="236">
        <v>851</v>
      </c>
      <c r="F644" s="221">
        <v>5492</v>
      </c>
      <c r="G644" s="221">
        <v>5492</v>
      </c>
    </row>
    <row r="645" spans="1:7" ht="31.5">
      <c r="A645" s="231" t="s">
        <v>1177</v>
      </c>
      <c r="B645" s="239"/>
      <c r="C645" s="241"/>
      <c r="D645" s="237"/>
      <c r="E645" s="236">
        <v>852</v>
      </c>
      <c r="F645" s="221">
        <v>36893</v>
      </c>
      <c r="G645" s="221">
        <v>36893</v>
      </c>
    </row>
    <row r="646" spans="1:7" ht="31.5">
      <c r="A646" s="231" t="s">
        <v>1019</v>
      </c>
      <c r="B646" s="239"/>
      <c r="C646" s="241"/>
      <c r="D646" s="237">
        <v>7950000</v>
      </c>
      <c r="E646" s="236"/>
      <c r="F646" s="221">
        <v>920462</v>
      </c>
      <c r="G646" s="221">
        <f t="shared" ref="G646" si="80">G647</f>
        <v>920463</v>
      </c>
    </row>
    <row r="647" spans="1:7" ht="63">
      <c r="A647" s="231" t="s">
        <v>2123</v>
      </c>
      <c r="B647" s="239"/>
      <c r="C647" s="241"/>
      <c r="D647" s="237">
        <v>7951500</v>
      </c>
      <c r="E647" s="331"/>
      <c r="F647" s="221">
        <v>920462</v>
      </c>
      <c r="G647" s="221">
        <f>SUM(G648:G650)</f>
        <v>920463</v>
      </c>
    </row>
    <row r="648" spans="1:7" ht="31.5">
      <c r="A648" s="231" t="s">
        <v>1658</v>
      </c>
      <c r="B648" s="239"/>
      <c r="C648" s="241"/>
      <c r="D648" s="237"/>
      <c r="E648" s="236">
        <v>244</v>
      </c>
      <c r="F648" s="221">
        <v>92562</v>
      </c>
      <c r="G648" s="221">
        <v>92563</v>
      </c>
    </row>
    <row r="649" spans="1:7" ht="51" customHeight="1">
      <c r="A649" s="231" t="s">
        <v>1666</v>
      </c>
      <c r="B649" s="239"/>
      <c r="C649" s="241"/>
      <c r="D649" s="237"/>
      <c r="E649" s="236">
        <v>321</v>
      </c>
      <c r="F649" s="221">
        <v>108000</v>
      </c>
      <c r="G649" s="221">
        <v>108000</v>
      </c>
    </row>
    <row r="650" spans="1:7" ht="30.75" customHeight="1">
      <c r="A650" s="231" t="s">
        <v>867</v>
      </c>
      <c r="B650" s="239"/>
      <c r="C650" s="241"/>
      <c r="D650" s="237"/>
      <c r="E650" s="236">
        <v>810</v>
      </c>
      <c r="F650" s="221">
        <v>719900</v>
      </c>
      <c r="G650" s="221">
        <v>719900</v>
      </c>
    </row>
    <row r="651" spans="1:7" hidden="1">
      <c r="A651" s="231" t="s">
        <v>483</v>
      </c>
      <c r="B651" s="239"/>
      <c r="C651" s="241">
        <v>412</v>
      </c>
      <c r="D651" s="237">
        <v>5220000</v>
      </c>
      <c r="E651" s="236"/>
      <c r="F651" s="221">
        <v>0</v>
      </c>
      <c r="G651" s="221">
        <f>G653+G656</f>
        <v>0</v>
      </c>
    </row>
    <row r="652" spans="1:7" ht="31.5" hidden="1">
      <c r="A652" s="231" t="s">
        <v>779</v>
      </c>
      <c r="B652" s="227"/>
      <c r="C652" s="241"/>
      <c r="D652" s="237">
        <v>5223300</v>
      </c>
      <c r="E652" s="236"/>
      <c r="F652" s="221">
        <v>0</v>
      </c>
      <c r="G652" s="221">
        <f t="shared" ref="G652:G653" si="81">G653</f>
        <v>0</v>
      </c>
    </row>
    <row r="653" spans="1:7" ht="126" hidden="1">
      <c r="A653" s="231" t="s">
        <v>1711</v>
      </c>
      <c r="B653" s="239"/>
      <c r="C653" s="241"/>
      <c r="D653" s="237">
        <v>5223302</v>
      </c>
      <c r="E653" s="331"/>
      <c r="F653" s="221">
        <v>0</v>
      </c>
      <c r="G653" s="221">
        <f t="shared" si="81"/>
        <v>0</v>
      </c>
    </row>
    <row r="654" spans="1:7" ht="63" hidden="1">
      <c r="A654" s="231" t="s">
        <v>1129</v>
      </c>
      <c r="B654" s="239"/>
      <c r="C654" s="241"/>
      <c r="D654" s="237"/>
      <c r="E654" s="236">
        <v>810</v>
      </c>
      <c r="F654" s="221">
        <v>0</v>
      </c>
      <c r="G654" s="221"/>
    </row>
    <row r="655" spans="1:7" ht="31.5" hidden="1">
      <c r="A655" s="231" t="s">
        <v>1019</v>
      </c>
      <c r="B655" s="239"/>
      <c r="C655" s="241"/>
      <c r="D655" s="237">
        <v>7950000</v>
      </c>
      <c r="E655" s="236"/>
      <c r="F655" s="221">
        <v>0</v>
      </c>
      <c r="G655" s="221">
        <f t="shared" ref="G655:G656" si="82">G656</f>
        <v>0</v>
      </c>
    </row>
    <row r="656" spans="1:7" ht="35.450000000000003" hidden="1" customHeight="1">
      <c r="A656" s="231" t="s">
        <v>2051</v>
      </c>
      <c r="B656" s="239"/>
      <c r="C656" s="241"/>
      <c r="D656" s="237">
        <v>7952300</v>
      </c>
      <c r="E656" s="331"/>
      <c r="F656" s="221">
        <v>0</v>
      </c>
      <c r="G656" s="221">
        <f t="shared" si="82"/>
        <v>0</v>
      </c>
    </row>
    <row r="657" spans="1:7" ht="63" hidden="1">
      <c r="A657" s="231" t="s">
        <v>1129</v>
      </c>
      <c r="B657" s="239"/>
      <c r="C657" s="241"/>
      <c r="D657" s="237"/>
      <c r="E657" s="236">
        <v>810</v>
      </c>
      <c r="F657" s="221">
        <v>0</v>
      </c>
      <c r="G657" s="221"/>
    </row>
    <row r="658" spans="1:7" ht="31.5">
      <c r="A658" s="231" t="s">
        <v>509</v>
      </c>
      <c r="B658" s="239"/>
      <c r="C658" s="241">
        <v>605</v>
      </c>
      <c r="D658" s="237"/>
      <c r="E658" s="236"/>
      <c r="F658" s="221">
        <v>3520</v>
      </c>
      <c r="G658" s="221">
        <f t="shared" ref="G658:G660" si="83">G659</f>
        <v>3520</v>
      </c>
    </row>
    <row r="659" spans="1:7" ht="31.5">
      <c r="A659" s="231" t="s">
        <v>807</v>
      </c>
      <c r="B659" s="239"/>
      <c r="C659" s="243"/>
      <c r="D659" s="237">
        <v>4100000</v>
      </c>
      <c r="E659" s="236"/>
      <c r="F659" s="221">
        <v>3520</v>
      </c>
      <c r="G659" s="221">
        <f t="shared" si="83"/>
        <v>3520</v>
      </c>
    </row>
    <row r="660" spans="1:7">
      <c r="A660" s="231" t="s">
        <v>242</v>
      </c>
      <c r="B660" s="239"/>
      <c r="C660" s="241"/>
      <c r="D660" s="237">
        <v>4100100</v>
      </c>
      <c r="E660" s="331"/>
      <c r="F660" s="221">
        <v>3520</v>
      </c>
      <c r="G660" s="221">
        <f t="shared" si="83"/>
        <v>3520</v>
      </c>
    </row>
    <row r="661" spans="1:7" ht="31.5">
      <c r="A661" s="231" t="s">
        <v>1658</v>
      </c>
      <c r="B661" s="239"/>
      <c r="C661" s="241"/>
      <c r="D661" s="237"/>
      <c r="E661" s="236">
        <v>244</v>
      </c>
      <c r="F661" s="221">
        <v>3520</v>
      </c>
      <c r="G661" s="221">
        <v>3520</v>
      </c>
    </row>
    <row r="662" spans="1:7">
      <c r="A662" s="231" t="s">
        <v>353</v>
      </c>
      <c r="B662" s="239"/>
      <c r="C662" s="234">
        <v>1003</v>
      </c>
      <c r="D662" s="237"/>
      <c r="E662" s="240"/>
      <c r="F662" s="221">
        <v>9739833</v>
      </c>
      <c r="G662" s="221">
        <f>G665+G667</f>
        <v>9739833</v>
      </c>
    </row>
    <row r="663" spans="1:7">
      <c r="A663" s="231" t="s">
        <v>790</v>
      </c>
      <c r="B663" s="239"/>
      <c r="C663" s="243"/>
      <c r="D663" s="237">
        <v>1000000</v>
      </c>
      <c r="E663" s="240"/>
      <c r="F663" s="221">
        <v>9739833</v>
      </c>
      <c r="G663" s="221">
        <f t="shared" ref="G663:G665" si="84">G664</f>
        <v>6968075</v>
      </c>
    </row>
    <row r="664" spans="1:7" ht="114" customHeight="1">
      <c r="A664" s="231" t="s">
        <v>2057</v>
      </c>
      <c r="B664" s="239"/>
      <c r="C664" s="234"/>
      <c r="D664" s="237">
        <v>1001100</v>
      </c>
      <c r="E664" s="236"/>
      <c r="F664" s="221">
        <v>6968075</v>
      </c>
      <c r="G664" s="221">
        <f t="shared" si="84"/>
        <v>6968075</v>
      </c>
    </row>
    <row r="665" spans="1:7" ht="110.25">
      <c r="A665" s="231" t="s">
        <v>2127</v>
      </c>
      <c r="B665" s="239"/>
      <c r="C665" s="234"/>
      <c r="D665" s="237">
        <v>1001122</v>
      </c>
      <c r="E665" s="331"/>
      <c r="F665" s="221">
        <v>6968075</v>
      </c>
      <c r="G665" s="221">
        <f t="shared" si="84"/>
        <v>6968075</v>
      </c>
    </row>
    <row r="666" spans="1:7" ht="31.5">
      <c r="A666" s="231" t="s">
        <v>1667</v>
      </c>
      <c r="B666" s="239"/>
      <c r="C666" s="241"/>
      <c r="D666" s="237"/>
      <c r="E666" s="236">
        <v>322</v>
      </c>
      <c r="F666" s="221">
        <v>6968075</v>
      </c>
      <c r="G666" s="221">
        <v>6968075</v>
      </c>
    </row>
    <row r="667" spans="1:7" ht="51.75" customHeight="1">
      <c r="A667" s="231" t="s">
        <v>2141</v>
      </c>
      <c r="B667" s="239"/>
      <c r="C667" s="241"/>
      <c r="D667" s="237">
        <v>1001199</v>
      </c>
      <c r="E667" s="331"/>
      <c r="F667" s="221">
        <v>2771758</v>
      </c>
      <c r="G667" s="221">
        <f t="shared" ref="G667" si="85">G668</f>
        <v>2771758</v>
      </c>
    </row>
    <row r="668" spans="1:7" ht="31.5">
      <c r="A668" s="231" t="s">
        <v>1667</v>
      </c>
      <c r="B668" s="239"/>
      <c r="C668" s="241"/>
      <c r="D668" s="237"/>
      <c r="E668" s="236">
        <v>322</v>
      </c>
      <c r="F668" s="221">
        <v>2771758</v>
      </c>
      <c r="G668" s="221">
        <v>2771758</v>
      </c>
    </row>
    <row r="669" spans="1:7" ht="31.5">
      <c r="A669" s="226" t="str">
        <f>IF(B669&gt;0,VLOOKUP(B669,КВСР!A410:B1575,2),IF(#REF!&gt;0,VLOOKUP(#REF!,КФСР!A410:B1922,2),IF(D669&gt;0,VLOOKUP(D669,КЦСР!A410:B4414,2),IF(#REF!&gt;0,VLOOKUP(#REF!,КВР!A410:B2341,2)))))</f>
        <v>Департамент ЖКХ и строительства Администрации ТМР</v>
      </c>
      <c r="B669" s="227">
        <v>958</v>
      </c>
      <c r="C669" s="241"/>
      <c r="D669" s="229"/>
      <c r="E669" s="230"/>
      <c r="F669" s="222">
        <v>314609595.50999999</v>
      </c>
      <c r="G669" s="222">
        <f>G670+G674+G686+G694+G703+G713+G730+G760+G774+G783+G790+G795+G799+G804+G816+G821</f>
        <v>273534056</v>
      </c>
    </row>
    <row r="670" spans="1:7">
      <c r="A670" s="231" t="str">
        <f>IF(B670&gt;0,VLOOKUP(B670,КВСР!A407:B1572,2),IF(C670&gt;0,VLOOKUP(C670,КФСР!A407:B1919,2),IF(D670&gt;0,VLOOKUP(D670,КЦСР!A407:B4411,2),IF(E669&gt;0,VLOOKUP(E669,КВР!A407:B2338,2)))))</f>
        <v>Резервные фонды</v>
      </c>
      <c r="B670" s="227"/>
      <c r="C670" s="228">
        <v>111</v>
      </c>
      <c r="D670" s="229"/>
      <c r="E670" s="230"/>
      <c r="F670" s="221">
        <v>212192</v>
      </c>
      <c r="G670" s="221">
        <f t="shared" ref="G670:G672" si="86">G671</f>
        <v>239751</v>
      </c>
    </row>
    <row r="671" spans="1:7">
      <c r="A671" s="231" t="str">
        <f>IF(B671&gt;0,VLOOKUP(B671,КВСР!A408:B1573,2),IF(C671&gt;0,VLOOKUP(C671,КФСР!A408:B1920,2),IF(D671&gt;0,VLOOKUP(D671,КЦСР!A408:B4412,2),IF(E670&gt;0,VLOOKUP(E670,КВР!A408:B2339,2)))))</f>
        <v>Резервные фонды</v>
      </c>
      <c r="B671" s="227"/>
      <c r="C671" s="243"/>
      <c r="D671" s="229">
        <v>700000</v>
      </c>
      <c r="E671" s="230"/>
      <c r="F671" s="221">
        <v>212192</v>
      </c>
      <c r="G671" s="221">
        <f t="shared" si="86"/>
        <v>239751</v>
      </c>
    </row>
    <row r="672" spans="1:7" ht="32.450000000000003" customHeight="1">
      <c r="A672" s="231" t="str">
        <f>IF(B672&gt;0,VLOOKUP(B672,КВСР!A409:B1574,2),IF(C672&gt;0,VLOOKUP(C672,КФСР!A409:B1921,2),IF(D672&gt;0,VLOOKUP(D672,КЦСР!A409:B4413,2),IF(E671&gt;0,VLOOKUP(E671,КВР!A409:B2340,2)))))</f>
        <v>Резервные фонды местных администраций</v>
      </c>
      <c r="B672" s="239"/>
      <c r="C672" s="241"/>
      <c r="D672" s="237">
        <v>700500</v>
      </c>
      <c r="E672" s="331"/>
      <c r="F672" s="221">
        <v>212192</v>
      </c>
      <c r="G672" s="221">
        <f t="shared" si="86"/>
        <v>239751</v>
      </c>
    </row>
    <row r="673" spans="1:7">
      <c r="A673" s="231" t="str">
        <f>IF(B673&gt;0,VLOOKUP(B673,КВСР!A410:B1575,2),IF(C673&gt;0,VLOOKUP(C673,КФСР!A410:B1922,2),IF(D673&gt;0,VLOOKUP(D673,КЦСР!A410:B4414,2),IF(E673&gt;0,VLOOKUP(E673,КВР!A410:B2341,2)))))</f>
        <v>Резервные средства</v>
      </c>
      <c r="B673" s="227"/>
      <c r="C673" s="228"/>
      <c r="D673" s="229"/>
      <c r="E673" s="230">
        <v>870</v>
      </c>
      <c r="F673" s="221">
        <v>212192</v>
      </c>
      <c r="G673" s="221">
        <v>239751</v>
      </c>
    </row>
    <row r="674" spans="1:7" ht="24.75" customHeight="1">
      <c r="A674" s="231" t="str">
        <f>IF(B674&gt;0,VLOOKUP(B674,КВСР!A411:B1576,2),IF(C674&gt;0,VLOOKUP(C674,КФСР!A411:B1923,2),IF(D674&gt;0,VLOOKUP(D674,КЦСР!A411:B4415,2),IF(E674&gt;0,VLOOKUP(E674,КВР!A411:B2342,2)))))</f>
        <v>Другие общегосударственные вопросы</v>
      </c>
      <c r="B674" s="227"/>
      <c r="C674" s="228">
        <v>113</v>
      </c>
      <c r="D674" s="229"/>
      <c r="E674" s="230"/>
      <c r="F674" s="221">
        <v>11039031</v>
      </c>
      <c r="G674" s="221">
        <f>G676+G679+G684</f>
        <v>10907352</v>
      </c>
    </row>
    <row r="675" spans="1:7" ht="47.25">
      <c r="A675" s="231" t="str">
        <f>IF(B675&gt;0,VLOOKUP(B675,КВСР!A412:B1577,2),IF(C676&gt;0,VLOOKUP(C676,КФСР!A412:B1924,2),IF(D675&gt;0,VLOOKUP(D675,КЦСР!A412:B4416,2),IF(#REF!&gt;0,VLOOKUP(#REF!,КВР!A412:B2343,2)))))</f>
        <v>Реализация государственных функций, связанных с общегосударственным управлением</v>
      </c>
      <c r="B675" s="227"/>
      <c r="C675" s="243"/>
      <c r="D675" s="229">
        <v>920000</v>
      </c>
      <c r="E675" s="230"/>
      <c r="F675" s="221">
        <v>3736302</v>
      </c>
      <c r="G675" s="221">
        <f t="shared" ref="G675:G676" si="87">G676</f>
        <v>3736301</v>
      </c>
    </row>
    <row r="676" spans="1:7" ht="31.5">
      <c r="A676" s="231" t="str">
        <f>IF(B676&gt;0,VLOOKUP(B676,КВСР!A413:B1578,2),IF(C677&gt;0,VLOOKUP(C677,КФСР!A413:B1925,2),IF(D676&gt;0,VLOOKUP(D676,КЦСР!A413:B4417,2),IF(E675&gt;0,VLOOKUP(E675,КВР!A413:B2344,2)))))</f>
        <v>Выполнение других обязательств государства</v>
      </c>
      <c r="B676" s="227"/>
      <c r="C676" s="228"/>
      <c r="D676" s="229">
        <v>920300</v>
      </c>
      <c r="E676" s="331"/>
      <c r="F676" s="221">
        <v>3736302</v>
      </c>
      <c r="G676" s="221">
        <f t="shared" si="87"/>
        <v>3736301</v>
      </c>
    </row>
    <row r="677" spans="1:7" ht="31.5">
      <c r="A677" s="231" t="str">
        <f>IF(B677&gt;0,VLOOKUP(B677,КВСР!A414:B1579,2),IF(C678&gt;0,VLOOKUP(C678,КФСР!A414:B1926,2),IF(D677&gt;0,VLOOKUP(D677,КЦСР!A414:B4418,2),IF(E677&gt;0,VLOOKUP(E677,КВР!A414:B2345,2)))))</f>
        <v>Субсидии бюджетным учреждениям на иные цели</v>
      </c>
      <c r="B677" s="227"/>
      <c r="C677" s="228"/>
      <c r="D677" s="229"/>
      <c r="E677" s="230">
        <v>612</v>
      </c>
      <c r="F677" s="221">
        <v>3736302</v>
      </c>
      <c r="G677" s="221">
        <v>3736301</v>
      </c>
    </row>
    <row r="678" spans="1:7" ht="31.5">
      <c r="A678" s="231" t="str">
        <f>IF(B678&gt;0,VLOOKUP(B678,КВСР!A412:B1577,2),IF(C679&gt;0,VLOOKUP(C679,КФСР!A412:B1924,2),IF(D678&gt;0,VLOOKUP(D678,КЦСР!A412:B4416,2),IF(#REF!&gt;0,VLOOKUP(#REF!,КВР!A412:B2343,2)))))</f>
        <v>Учреждения по обеспечению хозяйственного обслуживания</v>
      </c>
      <c r="B678" s="227"/>
      <c r="C678" s="228"/>
      <c r="D678" s="229">
        <v>930000</v>
      </c>
      <c r="E678" s="230"/>
      <c r="F678" s="221">
        <v>7252729</v>
      </c>
      <c r="G678" s="221">
        <f t="shared" ref="G678" si="88">G679</f>
        <v>7121051</v>
      </c>
    </row>
    <row r="679" spans="1:7" ht="31.5">
      <c r="A679" s="231" t="str">
        <f>IF(B679&gt;0,VLOOKUP(B679,КВСР!A413:B1578,2),IF(C680&gt;0,VLOOKUP(C680,КФСР!A413:B1925,2),IF(D679&gt;0,VLOOKUP(D679,КЦСР!A413:B4417,2),IF(E678&gt;0,VLOOKUP(E678,КВР!A413:B2344,2)))))</f>
        <v>Обеспечение деятельности подведомственных учреждений</v>
      </c>
      <c r="B679" s="227"/>
      <c r="C679" s="228"/>
      <c r="D679" s="229">
        <v>939900</v>
      </c>
      <c r="E679" s="331"/>
      <c r="F679" s="221">
        <v>7252729</v>
      </c>
      <c r="G679" s="221">
        <f>SUM(G680:G681)</f>
        <v>7121051</v>
      </c>
    </row>
    <row r="680" spans="1:7" ht="78.75">
      <c r="A680" s="231" t="str">
        <f>IF(B680&gt;0,VLOOKUP(B680,КВСР!A414:B1579,2),IF(C681&gt;0,VLOOKUP(C681,КФСР!A414:B1926,2),IF(D680&gt;0,VLOOKUP(D680,КЦСР!A414:B4418,2),IF(E680&gt;0,VLOOKUP(E680,КВР!A414:B2345,2)))))</f>
        <v>Субсидии бюджетным учреждениям на финансовое обеспечение государственного задания на оказание государственных услуг (выполнение работ)</v>
      </c>
      <c r="B680" s="227"/>
      <c r="C680" s="228"/>
      <c r="D680" s="229"/>
      <c r="E680" s="230">
        <v>611</v>
      </c>
      <c r="F680" s="221">
        <v>6367490</v>
      </c>
      <c r="G680" s="221">
        <v>6235813</v>
      </c>
    </row>
    <row r="681" spans="1:7" ht="31.5">
      <c r="A681" s="231" t="str">
        <f>IF(B681&gt;0,VLOOKUP(B681,КВСР!A415:B1580,2),IF(C682&gt;0,VLOOKUP(C682,КФСР!A415:B1927,2),IF(D681&gt;0,VLOOKUP(D681,КЦСР!A415:B4419,2),IF(E681&gt;0,VLOOKUP(E681,КВР!A415:B2346,2)))))</f>
        <v>Субсидии бюджетным учреждениям на иные цели</v>
      </c>
      <c r="B681" s="227"/>
      <c r="C681" s="228"/>
      <c r="D681" s="229"/>
      <c r="E681" s="230">
        <v>612</v>
      </c>
      <c r="F681" s="221">
        <v>885239</v>
      </c>
      <c r="G681" s="221">
        <v>885238</v>
      </c>
    </row>
    <row r="682" spans="1:7" ht="31.5">
      <c r="A682" s="231" t="str">
        <f>IF(B682&gt;0,VLOOKUP(B682,КВСР!A416:B1581,2),IF(C683&gt;0,VLOOKUP(C683,КФСР!A416:B1928,2),IF(D682&gt;0,VLOOKUP(D682,КЦСР!A416:B4420,2),IF(#REF!&gt;0,VLOOKUP(#REF!,КВР!A416:B2347,2)))))</f>
        <v>Иные безвозмездные и безвозвратные перечисления</v>
      </c>
      <c r="B682" s="227"/>
      <c r="C682" s="228"/>
      <c r="D682" s="229">
        <v>5200000</v>
      </c>
      <c r="E682" s="230"/>
      <c r="F682" s="221">
        <v>50000</v>
      </c>
      <c r="G682" s="221">
        <f t="shared" ref="G682:G684" si="89">G683</f>
        <v>50000</v>
      </c>
    </row>
    <row r="683" spans="1:7" ht="47.25">
      <c r="A683" s="231" t="str">
        <f>IF(B683&gt;0,VLOOKUP(B683,КВСР!A417:B1582,2),IF(C684&gt;0,VLOOKUP(C684,КФСР!A417:B1929,2),IF(D683&gt;0,VLOOKUP(D683,КЦСР!A417:B4421,2),IF(E682&gt;0,VLOOKUP(E682,КВР!A417:B2348,2)))))</f>
        <v>Реализация региональных программ повышения эффективности бюджетных расходов</v>
      </c>
      <c r="B683" s="227"/>
      <c r="C683" s="228"/>
      <c r="D683" s="229">
        <v>5202400</v>
      </c>
      <c r="E683" s="230"/>
      <c r="F683" s="221">
        <v>50000</v>
      </c>
      <c r="G683" s="221">
        <f t="shared" si="89"/>
        <v>50000</v>
      </c>
    </row>
    <row r="684" spans="1:7" ht="47.25">
      <c r="A684" s="231" t="str">
        <f>IF(B684&gt;0,VLOOKUP(B684,КВСР!A418:B1583,2),IF(C685&gt;0,VLOOKUP(C685,КФСР!A418:B1930,2),IF(D684&gt;0,VLOOKUP(D684,КЦСР!A418:B4422,2),IF(E683&gt;0,VLOOKUP(E683,КВР!A418:B2349,2)))))</f>
        <v>Реализация муниципальной программы "Повышение эффективности бюджетных расходов"</v>
      </c>
      <c r="B684" s="227"/>
      <c r="C684" s="228"/>
      <c r="D684" s="229">
        <v>5202402</v>
      </c>
      <c r="E684" s="331"/>
      <c r="F684" s="221">
        <v>50000</v>
      </c>
      <c r="G684" s="221">
        <f t="shared" si="89"/>
        <v>50000</v>
      </c>
    </row>
    <row r="685" spans="1:7" ht="31.5">
      <c r="A685" s="231" t="str">
        <f>IF(B685&gt;0,VLOOKUP(B685,КВСР!A419:B1584,2),IF(C685&gt;0,VLOOKUP(C685,КФСР!A419:B1931,2),IF(D685&gt;0,VLOOKUP(D685,КЦСР!A419:B4423,2),IF(E685&gt;0,VLOOKUP(E685,КВР!A419:B2350,2)))))</f>
        <v>Субсидии бюджетным учреждениям на иные цели</v>
      </c>
      <c r="B685" s="227"/>
      <c r="C685" s="228"/>
      <c r="D685" s="229"/>
      <c r="E685" s="230">
        <v>612</v>
      </c>
      <c r="F685" s="221">
        <v>50000</v>
      </c>
      <c r="G685" s="221">
        <v>50000</v>
      </c>
    </row>
    <row r="686" spans="1:7">
      <c r="A686" s="231" t="str">
        <f>IF(B686&gt;0,VLOOKUP(B686,КВСР!A420:B1585,2),IF(C686&gt;0,VLOOKUP(C686,КФСР!A420:B1932,2),IF(D686&gt;0,VLOOKUP(D686,КЦСР!A420:B4424,2),IF(#REF!&gt;0,VLOOKUP(#REF!,КВР!A420:B2351,2)))))</f>
        <v>Топливно-энергетический комплекс</v>
      </c>
      <c r="B686" s="227"/>
      <c r="C686" s="228">
        <v>402</v>
      </c>
      <c r="D686" s="229"/>
      <c r="E686" s="230"/>
      <c r="F686" s="221">
        <v>16368346</v>
      </c>
      <c r="G686" s="221">
        <f>G689+G691</f>
        <v>9617380</v>
      </c>
    </row>
    <row r="687" spans="1:7" ht="47.25">
      <c r="A687" s="231" t="str">
        <f>IF(B687&gt;0,VLOOKUP(B687,КВСР!A422:B1587,2),IF(C687&gt;0,VLOOKUP(C687,КФСР!A422:B1934,2),IF(D687&gt;0,VLOOKUP(D687,КЦСР!A422:B4426,2),IF(E687&gt;0,VLOOKUP(E687,КВР!A422:B2353,2)))))</f>
        <v>Реализация государственных функций, связанных с общегосударственным управлением</v>
      </c>
      <c r="B687" s="227"/>
      <c r="C687" s="243"/>
      <c r="D687" s="229">
        <v>920000</v>
      </c>
      <c r="E687" s="230"/>
      <c r="F687" s="221">
        <v>16368346</v>
      </c>
      <c r="G687" s="221">
        <f t="shared" ref="G687:G689" si="90">G688</f>
        <v>3595000</v>
      </c>
    </row>
    <row r="688" spans="1:7" ht="63">
      <c r="A688" s="231" t="str">
        <f>IF(B688&gt;0,VLOOKUP(B688,КВСР!A423:B1588,2),IF(C688&gt;0,VLOOKUP(C688,КФСР!A423:B1935,2),IF(D688&gt;0,VLOOKUP(D688,КЦСР!A423:B4427,2),IF(E688&gt;0,VLOOKUP(E688,КВР!A423:B2354,2)))))</f>
        <v>Программа энергосбережения и повышения энергетической эффективности на период до 2020 года</v>
      </c>
      <c r="B688" s="227"/>
      <c r="C688" s="228"/>
      <c r="D688" s="229">
        <v>923400</v>
      </c>
      <c r="E688" s="331"/>
      <c r="F688" s="221">
        <v>16368346</v>
      </c>
      <c r="G688" s="221">
        <f t="shared" si="90"/>
        <v>3595000</v>
      </c>
    </row>
    <row r="689" spans="1:7" ht="126">
      <c r="A689" s="231" t="str">
        <f>IF(B689&gt;0,VLOOKUP(B689,КВСР!A424:B1589,2),IF(C689&gt;0,VLOOKUP(C689,КФСР!A424:B1936,2),IF(D689&gt;0,VLOOKUP(D689,КЦСР!A424:B4428,2),IF(E689&gt;0,VLOOKUP(E689,КВР!A424:B2355,2)))))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 за счет федеральных средств</v>
      </c>
      <c r="B689" s="227"/>
      <c r="C689" s="228"/>
      <c r="D689" s="229">
        <v>923401</v>
      </c>
      <c r="E689" s="230"/>
      <c r="F689" s="221">
        <v>4199416</v>
      </c>
      <c r="G689" s="221">
        <f t="shared" si="90"/>
        <v>3595000</v>
      </c>
    </row>
    <row r="690" spans="1:7" ht="31.5">
      <c r="A690" s="231" t="str">
        <f>IF(B690&gt;0,VLOOKUP(B690,КВСР!A425:B1590,2),IF(C690&gt;0,VLOOKUP(C690,КФСР!A425:B1937,2),IF(D690&gt;0,VLOOKUP(D690,КЦСР!A425:B4429,2),IF(E690&gt;0,VLOOKUP(E690,КВР!A425:B2356,2)))))</f>
        <v>Субсидии бюджетным учреждениям на иные цели</v>
      </c>
      <c r="B690" s="227"/>
      <c r="C690" s="228"/>
      <c r="D690" s="229"/>
      <c r="E690" s="230">
        <v>612</v>
      </c>
      <c r="F690" s="221">
        <v>4199416</v>
      </c>
      <c r="G690" s="221">
        <v>3595000</v>
      </c>
    </row>
    <row r="691" spans="1:7" ht="126">
      <c r="A691" s="231" t="str">
        <f>IF(B691&gt;0,VLOOKUP(B691,КВСР!A424:B1589,2),IF(C692&gt;0,VLOOKUP(C692,КФСР!A424:B1936,2),IF(D691&gt;0,VLOOKUP(D691,КЦСР!A424:B4428,2),IF(E688&gt;0,VLOOKUP(E688,КВР!A424:B2355,2)))))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691" s="227"/>
      <c r="C691" s="228"/>
      <c r="D691" s="229">
        <v>923403</v>
      </c>
      <c r="E691" s="331"/>
      <c r="F691" s="221">
        <v>12168930</v>
      </c>
      <c r="G691" s="221">
        <f>SUM(G692:G693)</f>
        <v>6022380</v>
      </c>
    </row>
    <row r="692" spans="1:7" ht="87" customHeight="1">
      <c r="A692" s="231" t="str">
        <f>IF(B692&gt;0,VLOOKUP(B692,КВСР!A425:B1590,2),IF(C693&gt;0,VLOOKUP(C693,КФСР!A425:B1937,2),IF(D692&gt;0,VLOOKUP(D692,КЦСР!A425:B4429,2),IF(E692&gt;0,VLOOKUP(E692,КВР!A425:B2356,2)))))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692" s="227"/>
      <c r="C692" s="228"/>
      <c r="D692" s="229"/>
      <c r="E692" s="230">
        <v>521</v>
      </c>
      <c r="F692" s="221">
        <v>1306987</v>
      </c>
      <c r="G692" s="221">
        <v>48157</v>
      </c>
    </row>
    <row r="693" spans="1:7" ht="31.5">
      <c r="A693" s="231" t="str">
        <f>IF(B693&gt;0,VLOOKUP(B693,КВСР!A424:B1589,2),IF(C693&gt;0,VLOOKUP(C693,КФСР!A424:B1936,2),IF(D693&gt;0,VLOOKUP(D693,КЦСР!A424:B4428,2),IF(E693&gt;0,VLOOKUP(E693,КВР!A424:B2355,2)))))</f>
        <v>Субсидии бюджетным учреждениям на иные цели</v>
      </c>
      <c r="B693" s="227"/>
      <c r="C693" s="228"/>
      <c r="D693" s="229"/>
      <c r="E693" s="230">
        <v>612</v>
      </c>
      <c r="F693" s="221">
        <v>10861943</v>
      </c>
      <c r="G693" s="221">
        <v>5974223</v>
      </c>
    </row>
    <row r="694" spans="1:7">
      <c r="A694" s="231" t="str">
        <f>IF(B694&gt;0,VLOOKUP(B694,КВСР!A425:B1590,2),IF(C694&gt;0,VLOOKUP(C694,КФСР!A425:B1937,2),IF(D694&gt;0,VLOOKUP(D694,КЦСР!A425:B4429,2),IF(#REF!&gt;0,VLOOKUP(#REF!,КВР!A425:B2356,2)))))</f>
        <v>Транспорт</v>
      </c>
      <c r="B694" s="227"/>
      <c r="C694" s="228">
        <v>408</v>
      </c>
      <c r="D694" s="229"/>
      <c r="E694" s="230"/>
      <c r="F694" s="221">
        <v>15890000</v>
      </c>
      <c r="G694" s="221">
        <f>G697+G701</f>
        <v>15382351</v>
      </c>
    </row>
    <row r="695" spans="1:7">
      <c r="A695" s="231" t="str">
        <f>IF(B695&gt;0,VLOOKUP(B695,КВСР!A426:B1591,2),IF(C696&gt;0,VLOOKUP(C696,КФСР!A426:B1938,2),IF(D695&gt;0,VLOOKUP(D695,КЦСР!A426:B4430,2),IF(E694&gt;0,VLOOKUP(E694,КВР!A426:B2357,2)))))</f>
        <v>Другие виды транспорта</v>
      </c>
      <c r="B695" s="233"/>
      <c r="C695" s="243"/>
      <c r="D695" s="229">
        <v>3170000</v>
      </c>
      <c r="E695" s="230"/>
      <c r="F695" s="221">
        <v>15890000</v>
      </c>
      <c r="G695" s="221">
        <f t="shared" ref="G695:G697" si="91">G696</f>
        <v>15382351</v>
      </c>
    </row>
    <row r="696" spans="1:7" ht="47.25">
      <c r="A696" s="231" t="str">
        <f>IF(B696&gt;0,VLOOKUP(B696,КВСР!A427:B1592,2),IF(C697&gt;0,VLOOKUP(C697,КФСР!A427:B1939,2),IF(D696&gt;0,VLOOKUP(D696,КЦСР!A427:B4431,2),IF(E695&gt;0,VLOOKUP(E695,КВР!A427:B2358,2)))))</f>
        <v>Субсидии на проведение отдельных мероприятий по другим видам транспорта</v>
      </c>
      <c r="B696" s="233"/>
      <c r="C696" s="228"/>
      <c r="D696" s="229">
        <v>3170100</v>
      </c>
      <c r="E696" s="230"/>
      <c r="F696" s="221">
        <v>15890000</v>
      </c>
      <c r="G696" s="221">
        <f t="shared" si="91"/>
        <v>15382351</v>
      </c>
    </row>
    <row r="697" spans="1:7" ht="110.25">
      <c r="A697" s="231" t="str">
        <f>IF(B697&gt;0,VLOOKUP(B697,КВСР!A428:B1593,2),IF(C698&gt;0,VLOOKUP(C698,КФСР!A428:B1940,2),IF(D697&gt;0,VLOOKUP(D697,КЦСР!A428:B4432,2),IF(E696&gt;0,VLOOKUP(E696,КВР!A428:B2359,2)))))</f>
        <v>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v>
      </c>
      <c r="B697" s="227"/>
      <c r="C697" s="228"/>
      <c r="D697" s="229">
        <v>3170110</v>
      </c>
      <c r="E697" s="331"/>
      <c r="F697" s="221">
        <v>15890000</v>
      </c>
      <c r="G697" s="221">
        <f t="shared" si="91"/>
        <v>15382351</v>
      </c>
    </row>
    <row r="698" spans="1:7" ht="63">
      <c r="A698" s="231" t="str">
        <f>IF(B698&gt;0,VLOOKUP(B698,КВСР!A429:B1594,2),IF(C699&gt;0,VLOOKUP(C699,КФСР!A429:B1941,2),IF(D698&gt;0,VLOOKUP(D698,КЦСР!A429:B4433,2),IF(E698&gt;0,VLOOKUP(E698,КВР!A429:B2360,2)))))</f>
        <v>Субсидии юридическим лицам (кроме государственных учреждений) и физическим лицам - производителям товаров, работ, услуг</v>
      </c>
      <c r="B698" s="227"/>
      <c r="C698" s="228"/>
      <c r="D698" s="229"/>
      <c r="E698" s="230">
        <v>810</v>
      </c>
      <c r="F698" s="221">
        <v>15890000</v>
      </c>
      <c r="G698" s="221">
        <v>15382351</v>
      </c>
    </row>
    <row r="699" spans="1:7" hidden="1">
      <c r="A699" s="231" t="str">
        <f>IF(B699&gt;0,VLOOKUP(B699,КВСР!A430:B1595,2),IF(C700&gt;0,VLOOKUP(C700,КФСР!A430:B1942,2),IF(D699&gt;0,VLOOKUP(D699,КЦСР!A430:B4434,2),IF(#REF!&gt;0,VLOOKUP(#REF!,КВР!A430:B2361,2)))))</f>
        <v>Межбюджетные трансферты</v>
      </c>
      <c r="B699" s="227"/>
      <c r="C699" s="228"/>
      <c r="D699" s="229">
        <v>5210000</v>
      </c>
      <c r="E699" s="230"/>
      <c r="F699" s="221">
        <v>0</v>
      </c>
      <c r="G699" s="221">
        <f t="shared" ref="G699:G701" si="92">G700</f>
        <v>0</v>
      </c>
    </row>
    <row r="700" spans="1:7" ht="94.5" hidden="1">
      <c r="A700" s="231" t="str">
        <f>IF(B700&gt;0,VLOOKUP(B700,КВСР!A431:B1596,2),IF(C701&gt;0,VLOOKUP(C701,КФСР!A431:B1943,2),IF(D700&gt;0,VLOOKUP(D700,КЦСР!A431:B4435,2),IF(E699&gt;0,VLOOKUP(E699,КВР!A431:B2362,2)))))</f>
        <v>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v>
      </c>
      <c r="B700" s="227"/>
      <c r="C700" s="228"/>
      <c r="D700" s="229">
        <v>5210100</v>
      </c>
      <c r="E700" s="230"/>
      <c r="F700" s="221">
        <v>0</v>
      </c>
      <c r="G700" s="221">
        <f t="shared" si="92"/>
        <v>0</v>
      </c>
    </row>
    <row r="701" spans="1:7" ht="78.75" hidden="1">
      <c r="A701" s="231" t="str">
        <f>IF(B701&gt;0,VLOOKUP(B701,КВСР!A430:B1595,2),IF(C701&gt;0,VLOOKUP(C701,КФСР!A430:B1942,2),IF(D701&gt;0,VLOOKUP(D701,КЦСР!A430:B4434,2),IF(E701&gt;0,VLOOKUP(E701,КВР!A430:B2361,2)))))</f>
        <v>Субсидия на компенсацию части затрат по организации внутримуниципального сообщения водным транспортом с использованием переправ</v>
      </c>
      <c r="B701" s="227"/>
      <c r="C701" s="228"/>
      <c r="D701" s="229">
        <v>5210125</v>
      </c>
      <c r="E701" s="331"/>
      <c r="F701" s="221">
        <v>0</v>
      </c>
      <c r="G701" s="221">
        <f t="shared" si="92"/>
        <v>0</v>
      </c>
    </row>
    <row r="702" spans="1:7" ht="78.75" hidden="1">
      <c r="A702" s="231" t="str">
        <f>IF(B702&gt;0,VLOOKUP(B702,КВСР!A431:B1596,2),IF(C702&gt;0,VLOOKUP(C702,КФСР!A431:B1943,2),IF(D702&gt;0,VLOOKUP(D702,КЦСР!A431:B4435,2),IF(E702&gt;0,VLOOKUP(E702,КВР!A431:B2362,2)))))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702" s="227"/>
      <c r="C702" s="228"/>
      <c r="D702" s="229"/>
      <c r="E702" s="230">
        <v>521</v>
      </c>
      <c r="F702" s="221">
        <v>0</v>
      </c>
      <c r="G702" s="221"/>
    </row>
    <row r="703" spans="1:7">
      <c r="A703" s="231" t="str">
        <f>IF(B703&gt;0,VLOOKUP(B703,КВСР!A432:B1597,2),IF(C703&gt;0,VLOOKUP(C703,КФСР!A432:B1944,2),IF(D703&gt;0,VLOOKUP(D703,КЦСР!A432:B4436,2),IF(E703&gt;0,VLOOKUP(E703,КВР!A432:B2363,2)))))</f>
        <v>Дорожное хозяйство</v>
      </c>
      <c r="B703" s="227"/>
      <c r="C703" s="228">
        <v>409</v>
      </c>
      <c r="D703" s="229"/>
      <c r="E703" s="230"/>
      <c r="F703" s="221">
        <v>69768974</v>
      </c>
      <c r="G703" s="221">
        <f>G706+G711</f>
        <v>54391998</v>
      </c>
    </row>
    <row r="704" spans="1:7">
      <c r="A704" s="231" t="str">
        <f>IF(B704&gt;0,VLOOKUP(B704,КВСР!A433:B1598,2),IF(C704&gt;0,VLOOKUP(C704,КФСР!A433:B1945,2),IF(D704&gt;0,VLOOKUP(D704,КЦСР!A433:B4437,2),IF(E704&gt;0,VLOOKUP(E704,КВР!A433:B2364,2)))))</f>
        <v>Дорожное хозяйство</v>
      </c>
      <c r="B704" s="227"/>
      <c r="C704" s="228"/>
      <c r="D704" s="229">
        <v>3150000</v>
      </c>
      <c r="E704" s="230"/>
      <c r="F704" s="221">
        <v>31629988</v>
      </c>
      <c r="G704" s="221">
        <f t="shared" ref="G704:G705" si="93">G705</f>
        <v>23520937</v>
      </c>
    </row>
    <row r="705" spans="1:7">
      <c r="A705" s="231" t="str">
        <f>IF(B705&gt;0,VLOOKUP(B705,КВСР!A434:B1599,2),IF(C705&gt;0,VLOOKUP(C705,КФСР!A434:B1946,2),IF(D705&gt;0,VLOOKUP(D705,КЦСР!A434:B4438,2),IF(E705&gt;0,VLOOKUP(E705,КВР!A434:B2365,2)))))</f>
        <v>Поддержка дорожного хозяйства</v>
      </c>
      <c r="B705" s="227"/>
      <c r="C705" s="228"/>
      <c r="D705" s="229">
        <v>3150200</v>
      </c>
      <c r="E705" s="230"/>
      <c r="F705" s="221">
        <v>31629988</v>
      </c>
      <c r="G705" s="221">
        <f t="shared" si="93"/>
        <v>23520937</v>
      </c>
    </row>
    <row r="706" spans="1:7" ht="94.5">
      <c r="A706" s="231" t="str">
        <f>IF(B706&gt;0,VLOOKUP(B706,КВСР!A435:B1600,2),IF(C706&gt;0,VLOOKUP(C706,КФСР!A435:B1947,2),IF(D706&gt;0,VLOOKUP(D706,КЦСР!A435:B4439,2),IF(E706&gt;0,VLOOKUP(E706,КВР!A435:B2366,2)))))</f>
        <v>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v>
      </c>
      <c r="B706" s="227"/>
      <c r="C706" s="228"/>
      <c r="D706" s="229">
        <v>3150201</v>
      </c>
      <c r="E706" s="331"/>
      <c r="F706" s="221">
        <v>31629988</v>
      </c>
      <c r="G706" s="221">
        <f>SUM(G707:G708)</f>
        <v>23520937</v>
      </c>
    </row>
    <row r="707" spans="1:7" ht="30.75" customHeight="1">
      <c r="A707" s="231" t="str">
        <f>IF(B707&gt;0,VLOOKUP(B707,КВСР!A436:B1601,2),IF(C707&gt;0,VLOOKUP(C707,КФСР!A436:B1948,2),IF(D707&gt;0,VLOOKUP(D707,КЦСР!A436:B4440,2),IF(E707&gt;0,VLOOKUP(E707,КВР!A436:B2367,2)))))</f>
        <v>Прочая закупка товаров, работ и услуг для государственных нужд</v>
      </c>
      <c r="B707" s="227"/>
      <c r="C707" s="228"/>
      <c r="D707" s="229"/>
      <c r="E707" s="230">
        <v>244</v>
      </c>
      <c r="F707" s="221">
        <v>31629988</v>
      </c>
      <c r="G707" s="221">
        <v>23520937</v>
      </c>
    </row>
    <row r="708" spans="1:7" ht="78.75" hidden="1">
      <c r="A708" s="231" t="str">
        <f>IF(B708&gt;0,VLOOKUP(B708,КВСР!A437:B1602,2),IF(C708&gt;0,VLOOKUP(C708,КФСР!A437:B1949,2),IF(D708&gt;0,VLOOKUP(D708,КЦСР!A437:B4441,2),IF(E708&gt;0,VLOOKUP(E708,КВР!A437:B2368,2)))))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708" s="227"/>
      <c r="C708" s="228"/>
      <c r="D708" s="229"/>
      <c r="E708" s="230">
        <v>521</v>
      </c>
      <c r="F708" s="221">
        <v>0</v>
      </c>
      <c r="G708" s="221"/>
    </row>
    <row r="709" spans="1:7">
      <c r="A709" s="231" t="str">
        <f>IF(B709&gt;0,VLOOKUP(B709,КВСР!A438:B1603,2),IF(C709&gt;0,VLOOKUP(C709,КФСР!A438:B1950,2),IF(D709&gt;0,VLOOKUP(D709,КЦСР!A438:B4442,2),IF(E709&gt;0,VLOOKUP(E709,КВР!A438:B2369,2)))))</f>
        <v>Межбюджетные трансферты</v>
      </c>
      <c r="B709" s="227"/>
      <c r="C709" s="228"/>
      <c r="D709" s="229">
        <v>5210000</v>
      </c>
      <c r="E709" s="230"/>
      <c r="F709" s="221">
        <v>38138986</v>
      </c>
      <c r="G709" s="221">
        <f t="shared" ref="G709:G711" si="94">G710</f>
        <v>30871061</v>
      </c>
    </row>
    <row r="710" spans="1:7" ht="83.25" customHeight="1">
      <c r="A710" s="231" t="str">
        <f>IF(B710&gt;0,VLOOKUP(B710,КВСР!A439:B1604,2),IF(C710&gt;0,VLOOKUP(C710,КФСР!A439:B1951,2),IF(D710&gt;0,VLOOKUP(D710,КЦСР!A439:B4443,2),IF(E710&gt;0,VLOOKUP(E710,КВР!A439:B2370,2)))))</f>
        <v>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v>
      </c>
      <c r="B710" s="227"/>
      <c r="C710" s="228"/>
      <c r="D710" s="229">
        <v>5210100</v>
      </c>
      <c r="E710" s="230"/>
      <c r="F710" s="221">
        <v>38138986</v>
      </c>
      <c r="G710" s="221">
        <f t="shared" si="94"/>
        <v>30871061</v>
      </c>
    </row>
    <row r="711" spans="1:7" ht="84" customHeight="1">
      <c r="A711" s="231" t="str">
        <f>IF(B711&gt;0,VLOOKUP(B711,КВСР!A440:B1605,2),IF(C711&gt;0,VLOOKUP(C711,КФСР!A440:B1952,2),IF(D711&gt;0,VLOOKUP(D711,КЦСР!A440:B4444,2),IF(E711&gt;0,VLOOKUP(E711,КВР!A440:B2371,2)))))</f>
        <v>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v>
      </c>
      <c r="B711" s="227"/>
      <c r="C711" s="228"/>
      <c r="D711" s="229">
        <v>5210105</v>
      </c>
      <c r="E711" s="331"/>
      <c r="F711" s="221">
        <v>38138986</v>
      </c>
      <c r="G711" s="221">
        <f t="shared" si="94"/>
        <v>30871061</v>
      </c>
    </row>
    <row r="712" spans="1:7" ht="78.75">
      <c r="A712" s="231" t="str">
        <f>IF(B712&gt;0,VLOOKUP(B712,КВСР!A441:B1606,2),IF(C712&gt;0,VLOOKUP(C712,КФСР!A441:B1953,2),IF(D712&gt;0,VLOOKUP(D712,КЦСР!A441:B4445,2),IF(E712&gt;0,VLOOKUP(E712,КВР!A441:B2372,2)))))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712" s="227"/>
      <c r="C712" s="228"/>
      <c r="D712" s="229"/>
      <c r="E712" s="230">
        <v>521</v>
      </c>
      <c r="F712" s="221">
        <v>38138986</v>
      </c>
      <c r="G712" s="221">
        <v>30871061</v>
      </c>
    </row>
    <row r="713" spans="1:7">
      <c r="A713" s="231" t="str">
        <f>IF(B713&gt;0,VLOOKUP(B713,КВСР!A442:B1607,2),IF(C713&gt;0,VLOOKUP(C713,КФСР!A442:B1954,2),IF(D713&gt;0,VLOOKUP(D713,КЦСР!A442:B4446,2),IF(E713&gt;0,VLOOKUP(E713,КВР!A442:B2373,2)))))</f>
        <v>Жилищное хозяйство</v>
      </c>
      <c r="B713" s="227"/>
      <c r="C713" s="228">
        <v>501</v>
      </c>
      <c r="D713" s="229"/>
      <c r="E713" s="230"/>
      <c r="F713" s="221">
        <v>21288480</v>
      </c>
      <c r="G713" s="221">
        <f>G716+G719+G722+G724+G728</f>
        <v>20462340</v>
      </c>
    </row>
    <row r="714" spans="1:7" ht="83.25" customHeight="1">
      <c r="A714" s="231" t="str">
        <f>IF(B714&gt;0,VLOOKUP(B714,КВСР!A443:B1608,2),IF(C714&gt;0,VLOOKUP(C714,КФСР!A443:B1955,2),IF(D714&gt;0,VLOOKUP(D714,КЦСР!A443:B4447,2),IF(E714&gt;0,VLOOKUP(E714,КВР!A443:B2374,2)))))</f>
        <v>Обеспечение мероприятий по капитальному ремонту многоквартирных домов и переселению граждан из аварийного жилищного фонда</v>
      </c>
      <c r="B714" s="227"/>
      <c r="C714" s="243"/>
      <c r="D714" s="229">
        <v>980000</v>
      </c>
      <c r="E714" s="230"/>
      <c r="F714" s="221">
        <v>11057964</v>
      </c>
      <c r="G714" s="221">
        <f t="shared" ref="G714:G716" si="95">G715</f>
        <v>4884700</v>
      </c>
    </row>
    <row r="715" spans="1:7" ht="130.5" customHeight="1">
      <c r="A715" s="231" t="str">
        <f>IF(B715&gt;0,VLOOKUP(B715,КВСР!A444:B1609,2),IF(C715&gt;0,VLOOKUP(C715,КФСР!A444:B1956,2),IF(D715&gt;0,VLOOKUP(D715,КЦСР!A444:B4448,2),IF(E715&gt;0,VLOOKUP(E715,КВР!A444:B2375,2)))))</f>
        <v>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v>
      </c>
      <c r="B715" s="227"/>
      <c r="C715" s="228"/>
      <c r="D715" s="229">
        <v>980100</v>
      </c>
      <c r="E715" s="230"/>
      <c r="F715" s="221">
        <v>4884700</v>
      </c>
      <c r="G715" s="221">
        <f t="shared" si="95"/>
        <v>4884700</v>
      </c>
    </row>
    <row r="716" spans="1:7" ht="117" customHeight="1">
      <c r="A716" s="231" t="str">
        <f>IF(B716&gt;0,VLOOKUP(B716,КВСР!A445:B1610,2),IF(C716&gt;0,VLOOKUP(C716,КФСР!A445:B1957,2),IF(D716&gt;0,VLOOKUP(D716,КЦСР!A445:B4449,2),IF(E716&gt;0,VLOOKUP(E716,КВР!A445:B2376,2)))))</f>
        <v>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v>
      </c>
      <c r="B716" s="227"/>
      <c r="C716" s="228"/>
      <c r="D716" s="229">
        <v>980101</v>
      </c>
      <c r="E716" s="331"/>
      <c r="F716" s="221">
        <v>4884700</v>
      </c>
      <c r="G716" s="221">
        <f t="shared" si="95"/>
        <v>4884700</v>
      </c>
    </row>
    <row r="717" spans="1:7" ht="64.5" customHeight="1">
      <c r="A717" s="231" t="str">
        <f>IF(B717&gt;0,VLOOKUP(B717,КВСР!A446:B1611,2),IF(C717&gt;0,VLOOKUP(C717,КФСР!A446:B1958,2),IF(D717&gt;0,VLOOKUP(D717,КЦСР!A446:B4450,2),IF(E717&gt;0,VLOOKUP(E717,КВР!A446:B2377,2)))))</f>
        <v>Субсидии юридическим лицам (кроме государственных учреждений) и физическим лицам - производителям товаров, работ, услуг</v>
      </c>
      <c r="B717" s="227"/>
      <c r="C717" s="228"/>
      <c r="D717" s="229"/>
      <c r="E717" s="230">
        <v>810</v>
      </c>
      <c r="F717" s="221">
        <v>4884700</v>
      </c>
      <c r="G717" s="221">
        <v>4884700</v>
      </c>
    </row>
    <row r="718" spans="1:7" ht="88.5" customHeight="1">
      <c r="A718" s="231" t="str">
        <f>IF(B718&gt;0,VLOOKUP(B718,КВСР!A447:B1612,2),IF(C718&gt;0,VLOOKUP(C718,КФСР!A447:B1959,2),IF(D718&gt;0,VLOOKUP(D718,КЦСР!A447:B4451,2),IF(E718&gt;0,VLOOKUP(E718,КВР!A447:B2378,2)))))</f>
        <v>Обеспечение мероприятий по капитальному ремонту многоквартирных домов и переселение граждан из аварийного жилищного фонда за счет средств бюджетов</v>
      </c>
      <c r="B718" s="227"/>
      <c r="C718" s="228"/>
      <c r="D718" s="229">
        <v>980200</v>
      </c>
      <c r="E718" s="230"/>
      <c r="F718" s="221">
        <v>6173264</v>
      </c>
      <c r="G718" s="221">
        <f t="shared" ref="G718" si="96">G719</f>
        <v>6173264</v>
      </c>
    </row>
    <row r="719" spans="1:7" ht="88.5" customHeight="1">
      <c r="A719" s="231" t="str">
        <f>IF(B719&gt;0,VLOOKUP(B719,КВСР!A448:B1613,2),IF(C719&gt;0,VLOOKUP(C719,КФСР!A448:B1960,2),IF(D719&gt;0,VLOOKUP(D719,КЦСР!A448:B4452,2),IF(E719&gt;0,VLOOKUP(E719,КВР!A448:B2379,2)))))</f>
        <v>Обеспечение мероприятий по капитальному ремонту многоквартирных домов и переселению граждан из  аварийного жилфонда за счет средств бюджетов</v>
      </c>
      <c r="B719" s="227"/>
      <c r="C719" s="228"/>
      <c r="D719" s="229">
        <v>980201</v>
      </c>
      <c r="E719" s="230"/>
      <c r="F719" s="221">
        <v>6173264</v>
      </c>
      <c r="G719" s="221">
        <f>G720</f>
        <v>6173264</v>
      </c>
    </row>
    <row r="720" spans="1:7" ht="69" customHeight="1">
      <c r="A720" s="231" t="str">
        <f>IF(B720&gt;0,VLOOKUP(B720,КВСР!A449:B1614,2),IF(C720&gt;0,VLOOKUP(C720,КФСР!A449:B1961,2),IF(D720&gt;0,VLOOKUP(D720,КЦСР!A449:B4453,2),IF(E720&gt;0,VLOOKUP(E720,КВР!A449:B2380,2)))))</f>
        <v>Субсидии юридическим лицам (кроме государственных учреждений) и физическим лицам - производителям товаров, работ, услуг</v>
      </c>
      <c r="B720" s="227"/>
      <c r="C720" s="228"/>
      <c r="D720" s="229"/>
      <c r="E720" s="230">
        <v>810</v>
      </c>
      <c r="F720" s="221">
        <v>6173264</v>
      </c>
      <c r="G720" s="221">
        <v>6173264</v>
      </c>
    </row>
    <row r="721" spans="1:7">
      <c r="A721" s="231" t="str">
        <f>IF(B721&gt;0,VLOOKUP(B721,КВСР!A450:B1615,2),IF(C721&gt;0,VLOOKUP(C721,КФСР!A450:B1962,2),IF(D721&gt;0,VLOOKUP(D721,КЦСР!A450:B4454,2),IF(E721&gt;0,VLOOKUP(E721,КВР!A450:B2381,2)))))</f>
        <v>Поддержка жилищного хозяйства</v>
      </c>
      <c r="B721" s="227"/>
      <c r="C721" s="228"/>
      <c r="D721" s="229">
        <v>3500000</v>
      </c>
      <c r="E721" s="230"/>
      <c r="F721" s="221">
        <v>230516</v>
      </c>
      <c r="G721" s="221">
        <f t="shared" ref="G721:G722" si="97">G722</f>
        <v>200516</v>
      </c>
    </row>
    <row r="722" spans="1:7" ht="36" customHeight="1">
      <c r="A722" s="231" t="str">
        <f>IF(B722&gt;0,VLOOKUP(B722,КВСР!A451:B1616,2),IF(C722&gt;0,VLOOKUP(C722,КФСР!A451:B1963,2),IF(D722&gt;0,VLOOKUP(D722,КЦСР!A451:B4455,2),IF(E722&gt;0,VLOOKUP(E722,КВР!A451:B2382,2)))))</f>
        <v>Капитальный ремонт муниципального жилищного фонда</v>
      </c>
      <c r="B722" s="227"/>
      <c r="C722" s="228"/>
      <c r="D722" s="229">
        <v>3500200</v>
      </c>
      <c r="E722" s="331"/>
      <c r="F722" s="221">
        <v>200516</v>
      </c>
      <c r="G722" s="221">
        <f t="shared" si="97"/>
        <v>200516</v>
      </c>
    </row>
    <row r="723" spans="1:7" ht="48.75" customHeight="1">
      <c r="A723" s="231" t="str">
        <f>IF(B723&gt;0,VLOOKUP(B723,КВСР!A452:B1617,2),IF(C723&gt;0,VLOOKUP(C723,КФСР!A452:B1964,2),IF(D723&gt;0,VLOOKUP(D723,КЦСР!A452:B4456,2),IF(E723&gt;0,VLOOKUP(E723,КВР!A452:B2383,2)))))</f>
        <v xml:space="preserve">Закупка товаров, работ, услуг в целях капитального ремонта государственного имущества </v>
      </c>
      <c r="B723" s="227"/>
      <c r="C723" s="228"/>
      <c r="D723" s="229"/>
      <c r="E723" s="230">
        <v>243</v>
      </c>
      <c r="F723" s="221">
        <v>200516</v>
      </c>
      <c r="G723" s="221">
        <v>200516</v>
      </c>
    </row>
    <row r="724" spans="1:7" ht="94.5" hidden="1">
      <c r="A724" s="231" t="str">
        <f>IF(B724&gt;0,VLOOKUP(B724,КВСР!A453:B1618,2),IF(C724&gt;0,VLOOKUP(C724,КФСР!A453:B1965,2),IF(D724&gt;0,VLOOKUP(D724,КЦСР!A453:B4457,2),IF(E724&gt;0,VLOOKUP(E724,КВР!A453:B2384,2)))))</f>
        <v>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v>
      </c>
      <c r="B724" s="227"/>
      <c r="C724" s="228"/>
      <c r="D724" s="229">
        <v>3500301</v>
      </c>
      <c r="E724" s="331"/>
      <c r="F724" s="221">
        <v>30000</v>
      </c>
      <c r="G724" s="221">
        <f t="shared" ref="G724" si="98">G725</f>
        <v>0</v>
      </c>
    </row>
    <row r="725" spans="1:7" ht="63" hidden="1">
      <c r="A725" s="231" t="str">
        <f>IF(B725&gt;0,VLOOKUP(B725,КВСР!A454:B1619,2),IF(C725&gt;0,VLOOKUP(C725,КФСР!A454:B1966,2),IF(D725&gt;0,VLOOKUP(D725,КЦСР!A454:B4458,2),IF(E725&gt;0,VLOOKUP(E725,КВР!A454:B2385,2)))))</f>
        <v>Субсидии юридическим лицам (кроме государственных учреждений) и физическим лицам - производителям товаров, работ, услуг</v>
      </c>
      <c r="B725" s="227"/>
      <c r="C725" s="228"/>
      <c r="D725" s="229"/>
      <c r="E725" s="230">
        <v>810</v>
      </c>
      <c r="F725" s="221">
        <v>30000</v>
      </c>
      <c r="G725" s="221">
        <v>0</v>
      </c>
    </row>
    <row r="726" spans="1:7" ht="26.25" customHeight="1">
      <c r="A726" s="231" t="str">
        <f>IF(B726&gt;0,VLOOKUP(B726,КВСР!A455:B1620,2),IF(C726&gt;0,VLOOKUP(C726,КФСР!A455:B1967,2),IF(D726&gt;0,VLOOKUP(D726,КЦСР!A455:B4459,2),IF(E726&gt;0,VLOOKUP(E726,КВР!A455:B2386,2)))))</f>
        <v>Региональные целевые программы</v>
      </c>
      <c r="B726" s="227"/>
      <c r="C726" s="228"/>
      <c r="D726" s="229">
        <v>5220000</v>
      </c>
      <c r="E726" s="230"/>
      <c r="F726" s="221">
        <v>10000000</v>
      </c>
      <c r="G726" s="221">
        <f t="shared" ref="G726:G728" si="99">G727</f>
        <v>9203860</v>
      </c>
    </row>
    <row r="727" spans="1:7" ht="70.5" customHeight="1">
      <c r="A727" s="231" t="str">
        <f>IF(B727&gt;0,VLOOKUP(B727,КВСР!A456:B1621,2),IF(C727&gt;0,VLOOKUP(C727,КФСР!A456:B1968,2),IF(D727&gt;0,VLOOKUP(D727,КЦСР!A456:B4460,2),IF(E727&gt;0,VLOOKUP(E727,КВР!A456:B2387,2)))))</f>
        <v>Областная целевая программа "Комплексная программа модернизации и реформирования жилищно-коммунального хозяйства"</v>
      </c>
      <c r="B727" s="227"/>
      <c r="C727" s="228"/>
      <c r="D727" s="229">
        <v>5225800</v>
      </c>
      <c r="E727" s="230"/>
      <c r="F727" s="221">
        <v>10000000</v>
      </c>
      <c r="G727" s="221">
        <f t="shared" si="99"/>
        <v>9203860</v>
      </c>
    </row>
    <row r="728" spans="1:7" ht="51.75" customHeight="1">
      <c r="A728" s="231" t="str">
        <f>IF(B728&gt;0,VLOOKUP(B728,КВСР!A457:B1622,2),IF(C728&gt;0,VLOOKUP(C728,КФСР!A457:B1969,2),IF(D728&gt;0,VLOOKUP(D728,КЦСР!A457:B4461,2),IF(E728&gt;0,VLOOKUP(E728,КВР!A457:B2388,2)))))</f>
        <v>Субсидия на ликвидацию последствий чрезвычайных ситуаций, вызванных взрывом бытового газа</v>
      </c>
      <c r="B728" s="227"/>
      <c r="C728" s="228"/>
      <c r="D728" s="229">
        <v>5225807</v>
      </c>
      <c r="E728" s="230"/>
      <c r="F728" s="221">
        <v>10000000</v>
      </c>
      <c r="G728" s="221">
        <f t="shared" si="99"/>
        <v>9203860</v>
      </c>
    </row>
    <row r="729" spans="1:7" ht="78.75">
      <c r="A729" s="231" t="str">
        <f>IF(B729&gt;0,VLOOKUP(B729,КВСР!A458:B1623,2),IF(C729&gt;0,VLOOKUP(C729,КФСР!A458:B1970,2),IF(D729&gt;0,VLOOKUP(D729,КЦСР!A458:B4462,2),IF(E729&gt;0,VLOOKUP(E729,КВР!A458:B2389,2)))))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729" s="227"/>
      <c r="C729" s="228"/>
      <c r="D729" s="229"/>
      <c r="E729" s="230">
        <v>521</v>
      </c>
      <c r="F729" s="221">
        <v>10000000</v>
      </c>
      <c r="G729" s="221">
        <v>9203860</v>
      </c>
    </row>
    <row r="730" spans="1:7">
      <c r="A730" s="231" t="str">
        <f>IF(B730&gt;0,VLOOKUP(B730,КВСР!A459:B1624,2),IF(C730&gt;0,VLOOKUP(C730,КФСР!A459:B1971,2),IF(D730&gt;0,VLOOKUP(D730,КЦСР!A459:B4463,2),IF(E730&gt;0,VLOOKUP(E730,КВР!A459:B2390,2)))))</f>
        <v>Коммунальное хозяйство</v>
      </c>
      <c r="B730" s="227"/>
      <c r="C730" s="228">
        <v>502</v>
      </c>
      <c r="D730" s="229"/>
      <c r="E730" s="230"/>
      <c r="F730" s="221">
        <v>108074022.76000001</v>
      </c>
      <c r="G730" s="221">
        <f>G733+G737+G739+G741+G743+G748+G750+G754+G758</f>
        <v>91563720</v>
      </c>
    </row>
    <row r="731" spans="1:7">
      <c r="A731" s="231" t="str">
        <f>IF(B731&gt;0,VLOOKUP(B731,КВСР!A460:B1625,2),IF(C731&gt;0,VLOOKUP(C731,КФСР!A460:B1972,2),IF(D731&gt;0,VLOOKUP(D731,КЦСР!A460:B4464,2),IF(E731&gt;0,VLOOKUP(E731,КВР!A460:B2391,2)))))</f>
        <v>Федеральные целевые программы</v>
      </c>
      <c r="B731" s="227"/>
      <c r="C731" s="243"/>
      <c r="D731" s="229">
        <v>1000000</v>
      </c>
      <c r="E731" s="230"/>
      <c r="F731" s="221">
        <v>1596447.1800000002</v>
      </c>
      <c r="G731" s="221">
        <f t="shared" ref="G731:G732" si="100">G732</f>
        <v>817389</v>
      </c>
    </row>
    <row r="732" spans="1:7" ht="31.5">
      <c r="A732" s="231" t="str">
        <f>IF(B732&gt;0,VLOOKUP(B732,КВСР!A461:B1626,2),IF(C732&gt;0,VLOOKUP(C732,КФСР!A461:B1973,2),IF(D732&gt;0,VLOOKUP(D732,КЦСР!A461:B4465,2),IF(E732&gt;0,VLOOKUP(E732,КВР!A461:B2392,2)))))</f>
        <v>Федеральная целевая программа "Чистая вода" на 2011 - 2017 годы</v>
      </c>
      <c r="B732" s="227"/>
      <c r="C732" s="228"/>
      <c r="D732" s="229">
        <v>1009300</v>
      </c>
      <c r="E732" s="230"/>
      <c r="F732" s="221">
        <v>1596447.1800000002</v>
      </c>
      <c r="G732" s="221">
        <f t="shared" si="100"/>
        <v>817389</v>
      </c>
    </row>
    <row r="733" spans="1:7" ht="63">
      <c r="A733" s="231" t="str">
        <f>IF(B733&gt;0,VLOOKUP(B733,КВСР!A462:B1627,2),IF(C733&gt;0,VLOOKUP(C733,КФСР!A462:B1974,2),IF(D733&gt;0,VLOOKUP(D733,КЦСР!A462:B4466,2),IF(E733&gt;0,VLOOKUP(E733,КВР!A462:B2393,2)))))</f>
        <v>Субсидия на реализацию мероприятий по строительству и реконструкции объектов водоснабжения и водоотведения</v>
      </c>
      <c r="B733" s="227"/>
      <c r="C733" s="228"/>
      <c r="D733" s="229">
        <v>1009301</v>
      </c>
      <c r="E733" s="331"/>
      <c r="F733" s="221">
        <v>1596447.1800000002</v>
      </c>
      <c r="G733" s="221">
        <f>SUM(G734:G735)</f>
        <v>817389</v>
      </c>
    </row>
    <row r="734" spans="1:7" ht="63">
      <c r="A734" s="231" t="str">
        <f>IF(B734&gt;0,VLOOKUP(B734,КВСР!A463:B1628,2),IF(C734&gt;0,VLOOKUP(C734,КФСР!A463:B1975,2),IF(D734&gt;0,VLOOKUP(D734,КЦСР!A463:B4467,2),IF(E734&gt;0,VLOOKUP(E734,КВР!A463:B2394,2)))))</f>
        <v>Субсидии на осуществление капитальных вложений в объекты капитального строительства бюджетным учреждениям</v>
      </c>
      <c r="B734" s="227"/>
      <c r="C734" s="228"/>
      <c r="D734" s="229"/>
      <c r="E734" s="230">
        <v>464</v>
      </c>
      <c r="F734" s="221">
        <v>896447.18</v>
      </c>
      <c r="G734" s="221">
        <v>488461</v>
      </c>
    </row>
    <row r="735" spans="1:7" ht="63">
      <c r="A735" s="231" t="str">
        <f>IF(B735&gt;0,VLOOKUP(B735,КВСР!A464:B1629,2),IF(C735&gt;0,VLOOKUP(C735,КФСР!A464:B1976,2),IF(D735&gt;0,VLOOKUP(D735,КЦСР!A464:B4468,2),IF(E735&gt;0,VLOOKUP(E735,КВР!A464:B2395,2)))))</f>
        <v>Субсидии на софинансирование объектов капитального строительства государственной (муниципальной) собственности</v>
      </c>
      <c r="B735" s="227"/>
      <c r="C735" s="228"/>
      <c r="D735" s="229"/>
      <c r="E735" s="230">
        <v>522</v>
      </c>
      <c r="F735" s="221">
        <v>700000</v>
      </c>
      <c r="G735" s="221">
        <v>328928</v>
      </c>
    </row>
    <row r="736" spans="1:7">
      <c r="A736" s="231" t="str">
        <f>IF(B736&gt;0,VLOOKUP(B736,КВСР!A465:B1630,2),IF(C736&gt;0,VLOOKUP(C736,КФСР!A465:B1977,2),IF(D736&gt;0,VLOOKUP(D736,КЦСР!A465:B4469,2),IF(E736&gt;0,VLOOKUP(E736,КВР!A465:B2396,2)))))</f>
        <v>Поддержка коммунального хозяйства</v>
      </c>
      <c r="B736" s="227"/>
      <c r="C736" s="228"/>
      <c r="D736" s="229">
        <v>3510000</v>
      </c>
      <c r="E736" s="230"/>
      <c r="F736" s="221">
        <v>71464575.579999998</v>
      </c>
      <c r="G736" s="221">
        <f t="shared" ref="G736:G737" si="101">G737</f>
        <v>1564871</v>
      </c>
    </row>
    <row r="737" spans="1:7" ht="94.5">
      <c r="A737" s="231" t="str">
        <f>IF(B737&gt;0,VLOOKUP(B737,КВСР!A466:B1631,2),IF(C737&gt;0,VLOOKUP(C737,КФСР!A466:B1978,2),IF(D737&gt;0,VLOOKUP(D737,КЦСР!A466:B4470,2),IF(E737&gt;0,VLOOKUP(E737,КВР!A466:B2397,2)))))</f>
        <v>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v>
      </c>
      <c r="B737" s="233"/>
      <c r="C737" s="234"/>
      <c r="D737" s="235">
        <v>3510700</v>
      </c>
      <c r="E737" s="236"/>
      <c r="F737" s="221">
        <v>1711783.58</v>
      </c>
      <c r="G737" s="221">
        <f t="shared" si="101"/>
        <v>1564871</v>
      </c>
    </row>
    <row r="738" spans="1:7" ht="63">
      <c r="A738" s="231" t="str">
        <f>IF(B738&gt;0,VLOOKUP(B738,КВСР!A467:B1632,2),IF(C738&gt;0,VLOOKUP(C738,КФСР!A467:B1979,2),IF(D738&gt;0,VLOOKUP(D738,КЦСР!A467:B4471,2),IF(E738&gt;0,VLOOKUP(E738,КВР!A467:B2398,2)))))</f>
        <v>Субсидии на осуществление капитальных вложений в объекты капитального строительства бюджетным учреждениям</v>
      </c>
      <c r="B738" s="227"/>
      <c r="C738" s="228"/>
      <c r="D738" s="229"/>
      <c r="E738" s="230">
        <v>464</v>
      </c>
      <c r="F738" s="221">
        <v>1711783.58</v>
      </c>
      <c r="G738" s="221">
        <v>1564871</v>
      </c>
    </row>
    <row r="739" spans="1:7" ht="96" customHeight="1">
      <c r="A739" s="231" t="str">
        <f>IF(B739&gt;0,VLOOKUP(B739,КВСР!A468:B1633,2),IF(C739&gt;0,VLOOKUP(C739,КФСР!A468:B1980,2),IF(D739&gt;0,VLOOKUP(D739,КЦСР!A468:B4472,2),IF(E739&gt;0,VLOOKUP(E739,КВР!A468:B2399,2)))))</f>
        <v>Субсидия на частичную компенсацию расходов юридическим лицам, оказывающим услуги теплоснабжения жилищного фонда и учреждений бюджетной сферы  в  Тутаевском  муниципальном районе</v>
      </c>
      <c r="B739" s="227"/>
      <c r="C739" s="228"/>
      <c r="D739" s="229">
        <v>3510800</v>
      </c>
      <c r="E739" s="331"/>
      <c r="F739" s="221">
        <v>62706000</v>
      </c>
      <c r="G739" s="221">
        <f t="shared" ref="G739" si="102">G740</f>
        <v>62647000</v>
      </c>
    </row>
    <row r="740" spans="1:7" ht="63">
      <c r="A740" s="231" t="str">
        <f>IF(B740&gt;0,VLOOKUP(B740,КВСР!A469:B1634,2),IF(C740&gt;0,VLOOKUP(C740,КФСР!A469:B1981,2),IF(D740&gt;0,VLOOKUP(D740,КЦСР!A469:B4473,2),IF(E740&gt;0,VLOOKUP(E740,КВР!A469:B2400,2)))))</f>
        <v>Субсидии юридическим лицам (кроме государственных учреждений) и физическим лицам - производителям товаров, работ, услуг</v>
      </c>
      <c r="B740" s="227"/>
      <c r="C740" s="228"/>
      <c r="D740" s="229"/>
      <c r="E740" s="230">
        <v>810</v>
      </c>
      <c r="F740" s="221">
        <v>62706000</v>
      </c>
      <c r="G740" s="221">
        <v>62647000</v>
      </c>
    </row>
    <row r="741" spans="1:7" ht="47.25">
      <c r="A741" s="231" t="str">
        <f>IF(B741&gt;0,VLOOKUP(B741,КВСР!A470:B1635,2),IF(C741&gt;0,VLOOKUP(C741,КФСР!A470:B1982,2),IF(D741&gt;0,VLOOKUP(D741,КЦСР!A470:B4474,2),IF(E741&gt;0,VLOOKUP(E741,КВР!A470:B2401,2)))))</f>
        <v>Субсидия на реализацию мероприятий по подготовке к зиме объектов коммунального назначения</v>
      </c>
      <c r="B741" s="227"/>
      <c r="C741" s="228"/>
      <c r="D741" s="229">
        <v>3510900</v>
      </c>
      <c r="E741" s="331"/>
      <c r="F741" s="221">
        <v>342235</v>
      </c>
      <c r="G741" s="221">
        <f t="shared" ref="G741" si="103">G742</f>
        <v>342234</v>
      </c>
    </row>
    <row r="742" spans="1:7" ht="41.25" customHeight="1">
      <c r="A742" s="231" t="str">
        <f>IF(B742&gt;0,VLOOKUP(B742,КВСР!A471:B1636,2),IF(C742&gt;0,VLOOKUP(C742,КФСР!A471:B1983,2),IF(D742&gt;0,VLOOKUP(D742,КЦСР!A471:B4475,2),IF(E742&gt;0,VLOOKUP(E742,КВР!A471:B2402,2)))))</f>
        <v>Прочая закупка товаров, работ и услуг для государственных нужд</v>
      </c>
      <c r="B742" s="227"/>
      <c r="C742" s="228"/>
      <c r="D742" s="229"/>
      <c r="E742" s="230">
        <v>244</v>
      </c>
      <c r="F742" s="221">
        <v>342235</v>
      </c>
      <c r="G742" s="221">
        <v>342234</v>
      </c>
    </row>
    <row r="743" spans="1:7" ht="100.5" customHeight="1">
      <c r="A743" s="231" t="str">
        <f>IF(B743&gt;0,VLOOKUP(B743,КВСР!A472:B1637,2),IF(C743&gt;0,VLOOKUP(C743,КФСР!A472:B1984,2),IF(D743&gt;0,VLOOKUP(D743,КЦСР!A472:B4476,2),IF(E743&gt;0,VLOOKUP(E743,КВР!A472:B2403,2)))))</f>
        <v>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v>
      </c>
      <c r="B743" s="227"/>
      <c r="C743" s="228"/>
      <c r="D743" s="229">
        <v>3511000</v>
      </c>
      <c r="E743" s="331"/>
      <c r="F743" s="221">
        <v>6569583</v>
      </c>
      <c r="G743" s="221">
        <f>SUM(G744:G747)</f>
        <v>6568725</v>
      </c>
    </row>
    <row r="744" spans="1:7" ht="47.25">
      <c r="A744" s="231" t="str">
        <f>IF(B744&gt;0,VLOOKUP(B744,КВСР!A473:B1638,2),IF(C744&gt;0,VLOOKUP(C744,КФСР!A473:B1985,2),IF(D744&gt;0,VLOOKUP(D744,КЦСР!A473:B4477,2),IF(E744&gt;0,VLOOKUP(E744,КВР!A473:B2404,2)))))</f>
        <v xml:space="preserve">Закупка товаров, работ, услуг в целях капитального ремонта государственного имущества </v>
      </c>
      <c r="B744" s="227"/>
      <c r="C744" s="228"/>
      <c r="D744" s="229"/>
      <c r="E744" s="230">
        <v>243</v>
      </c>
      <c r="F744" s="221">
        <v>1920000</v>
      </c>
      <c r="G744" s="221">
        <v>1919144</v>
      </c>
    </row>
    <row r="745" spans="1:7" ht="31.5">
      <c r="A745" s="231" t="str">
        <f>IF(B745&gt;0,VLOOKUP(B745,КВСР!A474:B1639,2),IF(C745&gt;0,VLOOKUP(C745,КФСР!A474:B1986,2),IF(D745&gt;0,VLOOKUP(D745,КЦСР!A474:B4478,2),IF(E745&gt;0,VLOOKUP(E745,КВР!A474:B2405,2)))))</f>
        <v>Прочая закупка товаров, работ и услуг для государственных нужд</v>
      </c>
      <c r="B745" s="227"/>
      <c r="C745" s="228"/>
      <c r="D745" s="229"/>
      <c r="E745" s="230">
        <v>244</v>
      </c>
      <c r="F745" s="221">
        <v>205838</v>
      </c>
      <c r="G745" s="221">
        <v>205838</v>
      </c>
    </row>
    <row r="746" spans="1:7" ht="64.5" customHeight="1">
      <c r="A746" s="231" t="str">
        <f>IF(B746&gt;0,VLOOKUP(B746,КВСР!A475:B1640,2),IF(C746&gt;0,VLOOKUP(C746,КФСР!A475:B1987,2),IF(D746&gt;0,VLOOKUP(D746,КЦСР!A475:B4479,2),IF(E746&gt;0,VLOOKUP(E746,КВР!A475:B2406,2)))))</f>
        <v>Бюджетные инвестиции в объекты государственной собственности казенным учреждениям вне рамок государственного оборонного заказа</v>
      </c>
      <c r="B746" s="227"/>
      <c r="C746" s="228"/>
      <c r="D746" s="229"/>
      <c r="E746" s="230">
        <v>411</v>
      </c>
      <c r="F746" s="221">
        <v>1296479</v>
      </c>
      <c r="G746" s="221">
        <v>1296478</v>
      </c>
    </row>
    <row r="747" spans="1:7" ht="63">
      <c r="A747" s="231" t="str">
        <f>IF(B747&gt;0,VLOOKUP(B747,КВСР!A476:B1641,2),IF(C747&gt;0,VLOOKUP(C747,КФСР!A476:B1988,2),IF(D747&gt;0,VLOOKUP(D747,КЦСР!A476:B4480,2),IF(E747&gt;0,VLOOKUP(E747,КВР!A476:B2407,2)))))</f>
        <v>Субсидии юридическим лицам (кроме государственных учреждений) и физическим лицам - производителям товаров, работ, услуг</v>
      </c>
      <c r="B747" s="227"/>
      <c r="C747" s="228"/>
      <c r="D747" s="229"/>
      <c r="E747" s="230">
        <v>810</v>
      </c>
      <c r="F747" s="221">
        <v>3147266</v>
      </c>
      <c r="G747" s="221">
        <v>3147265</v>
      </c>
    </row>
    <row r="748" spans="1:7" ht="68.25" customHeight="1">
      <c r="A748" s="231" t="str">
        <f>IF(B748&gt;0,VLOOKUP(B748,КВСР!A477:B1642,2),IF(C748&gt;0,VLOOKUP(C748,КФСР!A477:B1989,2),IF(D748&gt;0,VLOOKUP(D748,КЦСР!A477:B4481,2),IF(E748&gt;0,VLOOKUP(E748,КВР!A477:B2408,2)))))</f>
        <v>Мероприятия в области коммунального хозяйства, связанные с выполнением работ   по газоснабжению поселений (газификация  левый берег)</v>
      </c>
      <c r="B748" s="227"/>
      <c r="C748" s="228"/>
      <c r="D748" s="229">
        <v>3511100</v>
      </c>
      <c r="E748" s="331"/>
      <c r="F748" s="221">
        <v>105002</v>
      </c>
      <c r="G748" s="221">
        <f>G749</f>
        <v>105002</v>
      </c>
    </row>
    <row r="749" spans="1:7" ht="66" customHeight="1">
      <c r="A749" s="231" t="str">
        <f>IF(B749&gt;0,VLOOKUP(B749,КВСР!A478:B1643,2),IF(C749&gt;0,VLOOKUP(C749,КФСР!A478:B1990,2),IF(D749&gt;0,VLOOKUP(D749,КЦСР!A478:B4482,2),IF(E749&gt;0,VLOOKUP(E749,КВР!A478:B2409,2)))))</f>
        <v>Субсидии на осуществление капитальных вложений в объекты капитального строительства бюджетным учреждениям</v>
      </c>
      <c r="B749" s="227"/>
      <c r="C749" s="228"/>
      <c r="D749" s="229"/>
      <c r="E749" s="230">
        <v>464</v>
      </c>
      <c r="F749" s="221">
        <v>105002</v>
      </c>
      <c r="G749" s="221">
        <v>105002</v>
      </c>
    </row>
    <row r="750" spans="1:7" ht="66" customHeight="1">
      <c r="A750" s="231" t="str">
        <f>IF(B750&gt;0,VLOOKUP(B750,КВСР!A479:B1644,2),IF(C750&gt;0,VLOOKUP(C750,КФСР!A479:B1991,2),IF(D750&gt;0,VLOOKUP(D750,КЦСР!A479:B4483,2),IF(E750&gt;0,VLOOKUP(E750,КВР!A479:B2410,2)))))</f>
        <v>Мероприятия в области коммунального хозяйства, связанные с выполнением работ по газификации пос. Константиновский</v>
      </c>
      <c r="B750" s="227"/>
      <c r="C750" s="228"/>
      <c r="D750" s="229">
        <v>3511200</v>
      </c>
      <c r="E750" s="331"/>
      <c r="F750" s="221">
        <v>29972</v>
      </c>
      <c r="G750" s="221">
        <f>G751</f>
        <v>29972</v>
      </c>
    </row>
    <row r="751" spans="1:7" ht="63">
      <c r="A751" s="231" t="str">
        <f>IF(B751&gt;0,VLOOKUP(B751,КВСР!A480:B1645,2),IF(C751&gt;0,VLOOKUP(C751,КФСР!A480:B1992,2),IF(D751&gt;0,VLOOKUP(D751,КЦСР!A480:B4484,2),IF(E751&gt;0,VLOOKUP(E751,КВР!A480:B2411,2)))))</f>
        <v>Субсидии на осуществление капитальных вложений в объекты капитального строительства бюджетным учреждениям</v>
      </c>
      <c r="B751" s="227"/>
      <c r="C751" s="228"/>
      <c r="D751" s="229"/>
      <c r="E751" s="230">
        <v>464</v>
      </c>
      <c r="F751" s="221">
        <v>29972</v>
      </c>
      <c r="G751" s="221">
        <v>29972</v>
      </c>
    </row>
    <row r="752" spans="1:7">
      <c r="A752" s="231" t="str">
        <f>IF(B752&gt;0,VLOOKUP(B752,КВСР!A481:B1646,2),IF(C752&gt;0,VLOOKUP(C752,КФСР!A481:B1993,2),IF(D752&gt;0,VLOOKUP(D752,КЦСР!A481:B4485,2),IF(E752&gt;0,VLOOKUP(E752,КВР!A481:B2412,2)))))</f>
        <v>Региональные целевые программы</v>
      </c>
      <c r="B752" s="227"/>
      <c r="C752" s="228"/>
      <c r="D752" s="229">
        <v>5220000</v>
      </c>
      <c r="E752" s="230"/>
      <c r="F752" s="221">
        <v>35013000</v>
      </c>
      <c r="G752" s="221">
        <f t="shared" ref="G752:G753" si="104">G753</f>
        <v>16749527</v>
      </c>
    </row>
    <row r="753" spans="1:7" ht="63">
      <c r="A753" s="231" t="str">
        <f>IF(B753&gt;0,VLOOKUP(B753,КВСР!A482:B1647,2),IF(C753&gt;0,VLOOKUP(C753,КФСР!A482:B1994,2),IF(D753&gt;0,VLOOKUP(D753,КЦСР!A482:B4486,2),IF(E753&gt;0,VLOOKUP(E753,КВР!A482:B2413,2)))))</f>
        <v>Областная целевая программа "Комплексная программа модернизации и реформирования жилищно-коммунального хозяйства"</v>
      </c>
      <c r="B753" s="227"/>
      <c r="C753" s="228"/>
      <c r="D753" s="229">
        <v>5225800</v>
      </c>
      <c r="E753" s="230"/>
      <c r="F753" s="221">
        <v>32274000</v>
      </c>
      <c r="G753" s="221">
        <f t="shared" si="104"/>
        <v>16749527</v>
      </c>
    </row>
    <row r="754" spans="1:7" ht="110.25">
      <c r="A754" s="231" t="str">
        <f>IF(B754&gt;0,VLOOKUP(B754,КВСР!A483:B1648,2),IF(C754&gt;0,VLOOKUP(C754,КФСР!A483:B1995,2),IF(D754&gt;0,VLOOKUP(D754,КЦСР!A483:B4487,2),IF(E754&gt;0,VLOOKUP(E754,КВР!A483:B2414,2)))))</f>
        <v>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v>
      </c>
      <c r="B754" s="227"/>
      <c r="C754" s="228"/>
      <c r="D754" s="229">
        <v>5225803</v>
      </c>
      <c r="E754" s="331"/>
      <c r="F754" s="221">
        <v>32274000</v>
      </c>
      <c r="G754" s="221">
        <f>SUM(G755:G756)</f>
        <v>16749527</v>
      </c>
    </row>
    <row r="755" spans="1:7" ht="63">
      <c r="A755" s="231" t="str">
        <f>IF(B755&gt;0,VLOOKUP(B755,КВСР!A484:B1649,2),IF(C755&gt;0,VLOOKUP(C755,КФСР!A484:B1996,2),IF(D755&gt;0,VLOOKUP(D755,КЦСР!A484:B4488,2),IF(E755&gt;0,VLOOKUP(E755,КВР!A484:B2415,2)))))</f>
        <v>Субсидии на осуществление капитальных вложений в объекты капитального строительства бюджетным учреждениям</v>
      </c>
      <c r="B755" s="227"/>
      <c r="C755" s="228"/>
      <c r="D755" s="229"/>
      <c r="E755" s="230">
        <v>464</v>
      </c>
      <c r="F755" s="221">
        <v>18037000</v>
      </c>
      <c r="G755" s="221">
        <v>10376127</v>
      </c>
    </row>
    <row r="756" spans="1:7" ht="63">
      <c r="A756" s="231" t="str">
        <f>IF(B756&gt;0,VLOOKUP(B756,КВСР!A485:B1650,2),IF(C756&gt;0,VLOOKUP(C756,КФСР!A485:B1997,2),IF(D756&gt;0,VLOOKUP(D756,КЦСР!A485:B4489,2),IF(E756&gt;0,VLOOKUP(E756,КВР!A485:B2416,2)))))</f>
        <v>Субсидии на софинансирование объектов капитального строительства государственной (муниципальной) собственности</v>
      </c>
      <c r="B756" s="227"/>
      <c r="C756" s="228"/>
      <c r="D756" s="229"/>
      <c r="E756" s="230">
        <v>522</v>
      </c>
      <c r="F756" s="221">
        <v>14237000</v>
      </c>
      <c r="G756" s="221">
        <v>6373400</v>
      </c>
    </row>
    <row r="757" spans="1:7" ht="54.75" customHeight="1">
      <c r="A757" s="231" t="str">
        <f>IF(B757&gt;0,VLOOKUP(B757,КВСР!A486:B1651,2),IF(C757&gt;0,VLOOKUP(C757,КФСР!A486:B1998,2),IF(D757&gt;0,VLOOKUP(D757,КЦСР!A486:B4490,2),IF(E757&gt;0,VLOOKUP(E757,КВР!A486:B2417,2)))))</f>
        <v>ОЦП "Развитие органов местного самоуправления на территории Ярославской области"</v>
      </c>
      <c r="B757" s="227"/>
      <c r="C757" s="228"/>
      <c r="D757" s="229">
        <v>5228300</v>
      </c>
      <c r="E757" s="230"/>
      <c r="F757" s="221">
        <v>2739000</v>
      </c>
      <c r="G757" s="221">
        <f t="shared" ref="G757:G758" si="105">G758</f>
        <v>2739000</v>
      </c>
    </row>
    <row r="758" spans="1:7" ht="78.75">
      <c r="A758" s="231" t="str">
        <f>IF(B758&gt;0,VLOOKUP(B758,КВСР!A487:B1652,2),IF(C758&gt;0,VLOOKUP(C758,КФСР!A487:B1999,2),IF(D758&gt;0,VLOOKUP(D758,КЦСР!A487:B4491,2),IF(E758&gt;0,VLOOKUP(E758,КВР!A487:B2418,2)))))</f>
        <v>Дотации на содействие улучшению показателей эффективности деятельности органов местного самоуправления  муниципальных образований Ярославской области</v>
      </c>
      <c r="B758" s="227"/>
      <c r="C758" s="228"/>
      <c r="D758" s="229">
        <v>5228303</v>
      </c>
      <c r="E758" s="230"/>
      <c r="F758" s="221">
        <v>2739000</v>
      </c>
      <c r="G758" s="221">
        <f t="shared" si="105"/>
        <v>2739000</v>
      </c>
    </row>
    <row r="759" spans="1:7" ht="63">
      <c r="A759" s="231" t="str">
        <f>IF(B759&gt;0,VLOOKUP(B759,КВСР!A488:B1653,2),IF(C759&gt;0,VLOOKUP(C759,КФСР!A488:B2000,2),IF(D759&gt;0,VLOOKUP(D759,КЦСР!A488:B4492,2),IF(E759&gt;0,VLOOKUP(E759,КВР!A488:B2419,2)))))</f>
        <v>Субсидии юридическим лицам (кроме государственных учреждений) и физическим лицам - производителям товаров, работ, услуг</v>
      </c>
      <c r="B759" s="227"/>
      <c r="C759" s="228"/>
      <c r="D759" s="229"/>
      <c r="E759" s="230">
        <v>810</v>
      </c>
      <c r="F759" s="221">
        <v>2739000</v>
      </c>
      <c r="G759" s="221">
        <v>2739000</v>
      </c>
    </row>
    <row r="760" spans="1:7" ht="31.5">
      <c r="A760" s="231" t="str">
        <f>IF(B760&gt;0,VLOOKUP(B760,КВСР!A489:B1654,2),IF(C760&gt;0,VLOOKUP(C760,КФСР!A489:B2001,2),IF(D760&gt;0,VLOOKUP(D760,КЦСР!A489:B4493,2),IF(E760&gt;0,VLOOKUP(E760,КВР!A489:B2420,2)))))</f>
        <v>Другие вопросы в области жилищно-коммунального хозяйства</v>
      </c>
      <c r="B760" s="246"/>
      <c r="C760" s="234">
        <v>505</v>
      </c>
      <c r="D760" s="235"/>
      <c r="E760" s="236"/>
      <c r="F760" s="221">
        <v>7206451</v>
      </c>
      <c r="G760" s="221">
        <f>G762+G771</f>
        <v>7048331</v>
      </c>
    </row>
    <row r="761" spans="1:7" ht="78.75">
      <c r="A761" s="231" t="str">
        <f>IF(B761&gt;0,VLOOKUP(B761,КВСР!A490:B1655,2),IF(C761&gt;0,VLOOKUP(C761,КФСР!A490:B2002,2),IF(D761&gt;0,VLOOKUP(D761,КЦСР!A490:B4494,2),IF(E761&gt;0,VLOOKUP(E761,КВР!A490:B2421,2)))))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761" s="233"/>
      <c r="C761" s="243"/>
      <c r="D761" s="235">
        <v>20000</v>
      </c>
      <c r="E761" s="236"/>
      <c r="F761" s="221">
        <v>7162514</v>
      </c>
      <c r="G761" s="221">
        <f t="shared" ref="G761" si="106">G762</f>
        <v>7004394</v>
      </c>
    </row>
    <row r="762" spans="1:7">
      <c r="A762" s="231" t="str">
        <f>IF(B762&gt;0,VLOOKUP(B762,КВСР!A491:B1656,2),IF(C762&gt;0,VLOOKUP(C762,КФСР!A491:B2003,2),IF(D762&gt;0,VLOOKUP(D762,КЦСР!A491:B4495,2),IF(E762&gt;0,VLOOKUP(E762,КВР!A491:B2422,2)))))</f>
        <v>Центральный аппарат</v>
      </c>
      <c r="B762" s="233"/>
      <c r="C762" s="234"/>
      <c r="D762" s="235">
        <v>20400</v>
      </c>
      <c r="E762" s="331"/>
      <c r="F762" s="221">
        <v>7162514</v>
      </c>
      <c r="G762" s="221">
        <f>SUM(G763:G768)</f>
        <v>7004394</v>
      </c>
    </row>
    <row r="763" spans="1:7" ht="16.5" customHeight="1">
      <c r="A763" s="231" t="str">
        <f>IF(B763&gt;0,VLOOKUP(B763,КВСР!A492:B1657,2),IF(C763&gt;0,VLOOKUP(C763,КФСР!A492:B2004,2),IF(D763&gt;0,VLOOKUP(D763,КЦСР!A492:B4496,2),IF(E763&gt;0,VLOOKUP(E763,КВР!A492:B2423,2)))))</f>
        <v>Фонд оплаты труда и страховые взносы</v>
      </c>
      <c r="B763" s="233"/>
      <c r="C763" s="234"/>
      <c r="D763" s="235"/>
      <c r="E763" s="236">
        <v>121</v>
      </c>
      <c r="F763" s="221">
        <v>5760364</v>
      </c>
      <c r="G763" s="221">
        <v>5756514</v>
      </c>
    </row>
    <row r="764" spans="1:7" ht="31.5">
      <c r="A764" s="231" t="str">
        <f>IF(B764&gt;0,VLOOKUP(B764,КВСР!A493:B1658,2),IF(C764&gt;0,VLOOKUP(C764,КФСР!A493:B2005,2),IF(D764&gt;0,VLOOKUP(D764,КЦСР!A493:B4497,2),IF(E764&gt;0,VLOOKUP(E764,КВР!A493:B2424,2)))))</f>
        <v>Иные выплаты персоналу, за исключением фонда оплаты труда</v>
      </c>
      <c r="B764" s="233"/>
      <c r="C764" s="234"/>
      <c r="D764" s="235"/>
      <c r="E764" s="236">
        <v>122</v>
      </c>
      <c r="F764" s="221">
        <v>1200</v>
      </c>
      <c r="G764" s="221">
        <v>1200</v>
      </c>
    </row>
    <row r="765" spans="1:7" ht="47.25">
      <c r="A765" s="231" t="str">
        <f>IF(B765&gt;0,VLOOKUP(B765,КВСР!A494:B1659,2),IF(C765&gt;0,VLOOKUP(C765,КФСР!A494:B2006,2),IF(D765&gt;0,VLOOKUP(D765,КЦСР!A494:B4498,2),IF(E765&gt;0,VLOOKUP(E765,КВР!A494:B2425,2)))))</f>
        <v>Закупка товаров, работ, услуг в сфере информационно-коммуникационных технологий</v>
      </c>
      <c r="B765" s="233"/>
      <c r="C765" s="234"/>
      <c r="D765" s="235"/>
      <c r="E765" s="236">
        <v>242</v>
      </c>
      <c r="F765" s="221">
        <v>330000</v>
      </c>
      <c r="G765" s="221">
        <v>328791</v>
      </c>
    </row>
    <row r="766" spans="1:7" ht="31.5">
      <c r="A766" s="231" t="str">
        <f>IF(B766&gt;0,VLOOKUP(B766,КВСР!A495:B1660,2),IF(C766&gt;0,VLOOKUP(C766,КФСР!A495:B2007,2),IF(D766&gt;0,VLOOKUP(D766,КЦСР!A495:B4499,2),IF(E766&gt;0,VLOOKUP(E766,КВР!A495:B2426,2)))))</f>
        <v>Прочая закупка товаров, работ и услуг для государственных нужд</v>
      </c>
      <c r="B766" s="233"/>
      <c r="C766" s="234"/>
      <c r="D766" s="235"/>
      <c r="E766" s="236">
        <v>244</v>
      </c>
      <c r="F766" s="221">
        <v>1060539</v>
      </c>
      <c r="G766" s="221">
        <v>907478</v>
      </c>
    </row>
    <row r="767" spans="1:7" ht="31.5" hidden="1">
      <c r="A767" s="231" t="str">
        <f>IF(B767&gt;0,VLOOKUP(B767,КВСР!A496:B1661,2),IF(C767&gt;0,VLOOKUP(C767,КФСР!A496:B2008,2),IF(D767&gt;0,VLOOKUP(D767,КЦСР!A496:B4500,2),IF(E767&gt;0,VLOOKUP(E767,КВР!A496:B2427,2)))))</f>
        <v>Уплата налога на имущество организаций и земельного налога</v>
      </c>
      <c r="B767" s="227"/>
      <c r="C767" s="228"/>
      <c r="D767" s="229"/>
      <c r="E767" s="230">
        <v>851</v>
      </c>
      <c r="F767" s="221">
        <v>0</v>
      </c>
      <c r="G767" s="221"/>
    </row>
    <row r="768" spans="1:7" ht="31.5">
      <c r="A768" s="231" t="str">
        <f>IF(B768&gt;0,VLOOKUP(B768,КВСР!A497:B1662,2),IF(C768&gt;0,VLOOKUP(C768,КФСР!A497:B2009,2),IF(D768&gt;0,VLOOKUP(D768,КЦСР!A497:B4501,2),IF(E768&gt;0,VLOOKUP(E768,КВР!A497:B2428,2)))))</f>
        <v>Уплата прочих налогов, сборов и иных обязательных платежей</v>
      </c>
      <c r="B768" s="233"/>
      <c r="C768" s="234"/>
      <c r="D768" s="235"/>
      <c r="E768" s="236">
        <v>852</v>
      </c>
      <c r="F768" s="221">
        <v>10411</v>
      </c>
      <c r="G768" s="221">
        <v>10411</v>
      </c>
    </row>
    <row r="769" spans="1:7" ht="31.5">
      <c r="A769" s="231" t="str">
        <f>IF(B769&gt;0,VLOOKUP(B769,КВСР!A498:B1663,2),IF(C769&gt;0,VLOOKUP(C769,КФСР!A498:B2010,2),IF(D769&gt;0,VLOOKUP(D769,КЦСР!A498:B4502,2),IF(E769&gt;0,VLOOKUP(E769,КВР!A498:B2429,2)))))</f>
        <v>Иные безвозмездные и безвозвратные перечисления</v>
      </c>
      <c r="B769" s="233"/>
      <c r="C769" s="234"/>
      <c r="D769" s="235">
        <v>5200000</v>
      </c>
      <c r="E769" s="236"/>
      <c r="F769" s="221">
        <v>43937</v>
      </c>
      <c r="G769" s="221">
        <f t="shared" ref="G769:G770" si="107">G770</f>
        <v>43937</v>
      </c>
    </row>
    <row r="770" spans="1:7" ht="47.25">
      <c r="A770" s="231" t="str">
        <f>IF(B770&gt;0,VLOOKUP(B770,КВСР!A499:B1664,2),IF(C770&gt;0,VLOOKUP(C770,КФСР!A499:B2011,2),IF(D770&gt;0,VLOOKUP(D770,КЦСР!A499:B4503,2),IF(E770&gt;0,VLOOKUP(E770,КВР!A499:B2430,2)))))</f>
        <v>Реализация региональных программ повышения эффективности бюджетных расходов</v>
      </c>
      <c r="B770" s="233"/>
      <c r="C770" s="234"/>
      <c r="D770" s="235">
        <v>5202400</v>
      </c>
      <c r="E770" s="236"/>
      <c r="F770" s="221">
        <v>43937</v>
      </c>
      <c r="G770" s="221">
        <f t="shared" si="107"/>
        <v>43937</v>
      </c>
    </row>
    <row r="771" spans="1:7" ht="47.25">
      <c r="A771" s="231" t="str">
        <f>IF(B771&gt;0,VLOOKUP(B771,КВСР!A500:B1665,2),IF(C771&gt;0,VLOOKUP(C771,КФСР!A500:B2012,2),IF(D771&gt;0,VLOOKUP(D771,КЦСР!A500:B4504,2),IF(E771&gt;0,VLOOKUP(E771,КВР!A500:B2431,2)))))</f>
        <v>Реализация муниципальной программы "Повышение эффективности бюджетных расходов"</v>
      </c>
      <c r="B771" s="233"/>
      <c r="C771" s="234"/>
      <c r="D771" s="235">
        <v>5202402</v>
      </c>
      <c r="E771" s="331"/>
      <c r="F771" s="221">
        <v>43937</v>
      </c>
      <c r="G771" s="221">
        <f>SUM(G772:G773)</f>
        <v>43937</v>
      </c>
    </row>
    <row r="772" spans="1:7" ht="31.5">
      <c r="A772" s="231" t="str">
        <f>IF(B772&gt;0,VLOOKUP(B772,КВСР!A501:B1666,2),IF(C772&gt;0,VLOOKUP(C772,КФСР!A501:B2013,2),IF(D772&gt;0,VLOOKUP(D772,КЦСР!A501:B4505,2),IF(E772&gt;0,VLOOKUP(E772,КВР!A501:B2432,2)))))</f>
        <v>Фонд оплаты труда и страховые взносы</v>
      </c>
      <c r="B772" s="233"/>
      <c r="C772" s="234"/>
      <c r="D772" s="235"/>
      <c r="E772" s="236">
        <v>121</v>
      </c>
      <c r="F772" s="221">
        <v>35937</v>
      </c>
      <c r="G772" s="221">
        <v>35937</v>
      </c>
    </row>
    <row r="773" spans="1:7" ht="47.25">
      <c r="A773" s="231" t="str">
        <f>IF(B773&gt;0,VLOOKUP(B773,КВСР!A502:B1667,2),IF(C773&gt;0,VLOOKUP(C773,КФСР!A502:B2014,2),IF(D773&gt;0,VLOOKUP(D773,КЦСР!A502:B4506,2),IF(E773&gt;0,VLOOKUP(E773,КВР!A502:B2433,2)))))</f>
        <v>Закупка товаров, работ, услуг в сфере информационно-коммуникационных технологий</v>
      </c>
      <c r="B773" s="233"/>
      <c r="C773" s="234"/>
      <c r="D773" s="235"/>
      <c r="E773" s="236">
        <v>242</v>
      </c>
      <c r="F773" s="221">
        <v>8000</v>
      </c>
      <c r="G773" s="221">
        <v>8000</v>
      </c>
    </row>
    <row r="774" spans="1:7">
      <c r="A774" s="231" t="str">
        <f>IF(B774&gt;0,VLOOKUP(B774,КВСР!A503:B1668,2),IF(C774&gt;0,VLOOKUP(C774,КФСР!A503:B2015,2),IF(D774&gt;0,VLOOKUP(D774,КЦСР!A503:B4507,2),IF(E774&gt;0,VLOOKUP(E774,КВР!A503:B2434,2)))))</f>
        <v>Дошкольное образование</v>
      </c>
      <c r="B774" s="233"/>
      <c r="C774" s="234">
        <v>701</v>
      </c>
      <c r="D774" s="235"/>
      <c r="E774" s="236"/>
      <c r="F774" s="221">
        <v>47579500</v>
      </c>
      <c r="G774" s="221">
        <f>G777+G781</f>
        <v>47236536</v>
      </c>
    </row>
    <row r="775" spans="1:7" hidden="1">
      <c r="A775" s="231" t="str">
        <f>IF(B775&gt;0,VLOOKUP(B775,КВСР!A504:B1669,2),IF(C775&gt;0,VLOOKUP(C775,КФСР!A504:B2016,2),IF(D775&gt;0,VLOOKUP(D775,КЦСР!A504:B4508,2),IF(E775&gt;0,VLOOKUP(E775,КВР!A504:B2435,2)))))</f>
        <v>Мероприятия в области образования</v>
      </c>
      <c r="B775" s="233"/>
      <c r="C775" s="234"/>
      <c r="D775" s="235">
        <v>4360000</v>
      </c>
      <c r="E775" s="236"/>
      <c r="F775" s="221">
        <v>0</v>
      </c>
      <c r="G775" s="221">
        <f t="shared" ref="G775:G777" si="108">G776</f>
        <v>0</v>
      </c>
    </row>
    <row r="776" spans="1:7" ht="31.5" hidden="1">
      <c r="A776" s="231" t="str">
        <f>IF(B776&gt;0,VLOOKUP(B776,КВСР!A505:B1670,2),IF(C776&gt;0,VLOOKUP(C776,КФСР!A505:B2017,2),IF(D776&gt;0,VLOOKUP(D776,КЦСР!A505:B4509,2),IF(E776&gt;0,VLOOKUP(E776,КВР!A505:B2436,2)))))</f>
        <v>Модернизация региональных  систем  дошкольного образования</v>
      </c>
      <c r="B776" s="233"/>
      <c r="C776" s="234"/>
      <c r="D776" s="235">
        <v>4362700</v>
      </c>
      <c r="E776" s="236"/>
      <c r="F776" s="221">
        <v>0</v>
      </c>
      <c r="G776" s="221">
        <f t="shared" si="108"/>
        <v>0</v>
      </c>
    </row>
    <row r="777" spans="1:7" ht="47.25" hidden="1">
      <c r="A777" s="231" t="str">
        <f>IF(B777&gt;0,VLOOKUP(B777,КВСР!A506:B1671,2),IF(C777&gt;0,VLOOKUP(C777,КФСР!A506:B2018,2),IF(D777&gt;0,VLOOKUP(D777,КЦСР!A506:B4510,2),IF(E777&gt;0,VLOOKUP(E777,КВР!A506:B2437,2)))))</f>
        <v xml:space="preserve">Мероприятия по строительству и реконструкции дошкольных образовательных учреждений </v>
      </c>
      <c r="B777" s="233"/>
      <c r="C777" s="234"/>
      <c r="D777" s="235">
        <v>4362701</v>
      </c>
      <c r="E777" s="331"/>
      <c r="F777" s="221">
        <v>0</v>
      </c>
      <c r="G777" s="221">
        <f t="shared" si="108"/>
        <v>0</v>
      </c>
    </row>
    <row r="778" spans="1:7" ht="63" hidden="1">
      <c r="A778" s="231" t="str">
        <f>IF(B778&gt;0,VLOOKUP(B778,КВСР!A507:B1672,2),IF(C778&gt;0,VLOOKUP(C778,КФСР!A507:B2019,2),IF(D778&gt;0,VLOOKUP(D778,КЦСР!A507:B4511,2),IF(E778&gt;0,VLOOKUP(E778,КВР!A507:B2438,2)))))</f>
        <v>Субсидии на осуществление капитальных вложений в объекты капитального строительства бюджетным учреждениям</v>
      </c>
      <c r="B778" s="233"/>
      <c r="C778" s="234"/>
      <c r="D778" s="235"/>
      <c r="E778" s="236">
        <v>464</v>
      </c>
      <c r="F778" s="221">
        <v>0</v>
      </c>
      <c r="G778" s="221"/>
    </row>
    <row r="779" spans="1:7">
      <c r="A779" s="231" t="str">
        <f>IF(B779&gt;0,VLOOKUP(B779,КВСР!A508:B1673,2),IF(C779&gt;0,VLOOKUP(C779,КФСР!A508:B2020,2),IF(D779&gt;0,VLOOKUP(D779,КЦСР!A508:B4512,2),IF(E779&gt;0,VLOOKUP(E779,КВР!A508:B2439,2)))))</f>
        <v>Региональные целевые программы</v>
      </c>
      <c r="B779" s="233"/>
      <c r="C779" s="243"/>
      <c r="D779" s="235">
        <v>5220000</v>
      </c>
      <c r="E779" s="236"/>
      <c r="F779" s="221">
        <v>47579500</v>
      </c>
      <c r="G779" s="221">
        <f t="shared" ref="G779:G781" si="109">G780</f>
        <v>47236536</v>
      </c>
    </row>
    <row r="780" spans="1:7" ht="30.75" customHeight="1">
      <c r="A780" s="231" t="str">
        <f>IF(B780&gt;0,VLOOKUP(B780,КВСР!A509:B1674,2),IF(C780&gt;0,VLOOKUP(C780,КФСР!A509:B2021,2),IF(D780&gt;0,VLOOKUP(D780,КЦСР!A509:B4513,2),IF(E780&gt;0,VLOOKUP(E780,КВР!A509:B2440,2)))))</f>
        <v>Программа "Обеспечение доступного дошкольного образования"</v>
      </c>
      <c r="B780" s="233"/>
      <c r="C780" s="234"/>
      <c r="D780" s="235">
        <v>5221200</v>
      </c>
      <c r="E780" s="236"/>
      <c r="F780" s="221">
        <v>47579500</v>
      </c>
      <c r="G780" s="221">
        <f t="shared" si="109"/>
        <v>47236536</v>
      </c>
    </row>
    <row r="781" spans="1:7" ht="78.75">
      <c r="A781" s="231" t="str">
        <f>IF(B781&gt;0,VLOOKUP(B781,КВСР!A510:B1675,2),IF(C781&gt;0,VLOOKUP(C781,КФСР!A510:B2022,2),IF(D781&gt;0,VLOOKUP(D781,КЦСР!A510:B4514,2),IF(E781&gt;0,VLOOKUP(E781,КВР!A510:B2441,2)))))</f>
        <v>Программа "Обеспечение доступного дошкольного образования" в части мероприятий по строительству дошкольных образовательных учреждений</v>
      </c>
      <c r="B781" s="233"/>
      <c r="C781" s="234"/>
      <c r="D781" s="235">
        <v>5221202</v>
      </c>
      <c r="E781" s="331"/>
      <c r="F781" s="221">
        <v>47579500</v>
      </c>
      <c r="G781" s="221">
        <f t="shared" si="109"/>
        <v>47236536</v>
      </c>
    </row>
    <row r="782" spans="1:7" ht="63">
      <c r="A782" s="231" t="str">
        <f>IF(B782&gt;0,VLOOKUP(B782,КВСР!A513:B1678,2),IF(C782&gt;0,VLOOKUP(C782,КФСР!A513:B2025,2),IF(D782&gt;0,VLOOKUP(D782,КЦСР!A513:B4517,2),IF(E782&gt;0,VLOOKUP(E782,КВР!A513:B2444,2)))))</f>
        <v>Субсидии на осуществление капитальных вложений в объекты капитального строительства бюджетным учреждениям</v>
      </c>
      <c r="B782" s="233"/>
      <c r="C782" s="234"/>
      <c r="D782" s="235"/>
      <c r="E782" s="236">
        <v>464</v>
      </c>
      <c r="F782" s="221">
        <v>47579500</v>
      </c>
      <c r="G782" s="221">
        <v>47236536</v>
      </c>
    </row>
    <row r="783" spans="1:7">
      <c r="A783" s="231" t="str">
        <f>IF(B783&gt;0,VLOOKUP(B783,КВСР!A514:B1679,2),IF(C783&gt;0,VLOOKUP(C783,КФСР!A514:B2026,2),IF(D783&gt;0,VLOOKUP(D783,КЦСР!A514:B4518,2),IF(E783&gt;0,VLOOKUP(E783,КВР!A514:B2445,2)))))</f>
        <v>Общее образование</v>
      </c>
      <c r="B783" s="233"/>
      <c r="C783" s="234">
        <v>702</v>
      </c>
      <c r="D783" s="235"/>
      <c r="E783" s="236"/>
      <c r="F783" s="221">
        <v>804149</v>
      </c>
      <c r="G783" s="221">
        <f>G785+G788</f>
        <v>803648</v>
      </c>
    </row>
    <row r="784" spans="1:7" ht="37.5" customHeight="1">
      <c r="A784" s="231" t="str">
        <f>IF(B784&gt;0,VLOOKUP(B784,КВСР!A515:B1680,2),IF(C784&gt;0,VLOOKUP(C784,КФСР!A515:B2027,2),IF(D784&gt;0,VLOOKUP(D784,КЦСР!A515:B4519,2),IF(E784&gt;0,VLOOKUP(E784,КВР!A515:B2446,2)))))</f>
        <v>Школы - детские сады, школы начальные, неполные средние и средние</v>
      </c>
      <c r="B784" s="233"/>
      <c r="C784" s="243"/>
      <c r="D784" s="235">
        <v>4210000</v>
      </c>
      <c r="E784" s="236"/>
      <c r="F784" s="221">
        <v>404149</v>
      </c>
      <c r="G784" s="221">
        <f t="shared" ref="G784:G785" si="110">G785</f>
        <v>404148</v>
      </c>
    </row>
    <row r="785" spans="1:7" ht="31.5">
      <c r="A785" s="231" t="str">
        <f>IF(B785&gt;0,VLOOKUP(B785,КВСР!A516:B1681,2),IF(C785&gt;0,VLOOKUP(C785,КФСР!A516:B2028,2),IF(D785&gt;0,VLOOKUP(D785,КЦСР!A516:B4520,2),IF(E785&gt;0,VLOOKUP(E785,КВР!A516:B2447,2)))))</f>
        <v>Обеспечение деятельности подведомственных учреждений</v>
      </c>
      <c r="B785" s="233"/>
      <c r="C785" s="234"/>
      <c r="D785" s="235">
        <v>4219900</v>
      </c>
      <c r="E785" s="331"/>
      <c r="F785" s="221">
        <v>404149</v>
      </c>
      <c r="G785" s="221">
        <f t="shared" si="110"/>
        <v>404148</v>
      </c>
    </row>
    <row r="786" spans="1:7" ht="31.5">
      <c r="A786" s="231" t="str">
        <f>IF(B786&gt;0,VLOOKUP(B786,КВСР!A517:B1682,2),IF(C786&gt;0,VLOOKUP(C786,КФСР!A517:B2029,2),IF(D786&gt;0,VLOOKUP(D786,КЦСР!A517:B4521,2),IF(E786&gt;0,VLOOKUP(E786,КВР!A517:B2448,2)))))</f>
        <v>Субсидии бюджетным учреждениям на иные цели</v>
      </c>
      <c r="B786" s="233"/>
      <c r="C786" s="234"/>
      <c r="D786" s="235"/>
      <c r="E786" s="236">
        <v>612</v>
      </c>
      <c r="F786" s="221">
        <v>404149</v>
      </c>
      <c r="G786" s="221">
        <v>404148</v>
      </c>
    </row>
    <row r="787" spans="1:7" ht="31.5">
      <c r="A787" s="231" t="str">
        <f>IF(B787&gt;0,VLOOKUP(B787,КВСР!A518:B1683,2),IF(C787&gt;0,VLOOKUP(C787,КФСР!A518:B2030,2),IF(D787&gt;0,VLOOKUP(D787,КЦСР!A518:B4522,2),IF(E787&gt;0,VLOOKUP(E787,КВР!A518:B2449,2)))))</f>
        <v>Учреждения по внешкольной работе с детьми</v>
      </c>
      <c r="B787" s="233"/>
      <c r="C787" s="234"/>
      <c r="D787" s="235">
        <v>4230000</v>
      </c>
      <c r="E787" s="236"/>
      <c r="F787" s="221">
        <v>400000</v>
      </c>
      <c r="G787" s="221">
        <f t="shared" ref="G787" si="111">G788</f>
        <v>399500</v>
      </c>
    </row>
    <row r="788" spans="1:7" ht="31.5">
      <c r="A788" s="231" t="str">
        <f>IF(B788&gt;0,VLOOKUP(B788,КВСР!A519:B1684,2),IF(C788&gt;0,VLOOKUP(C788,КФСР!A519:B2031,2),IF(D788&gt;0,VLOOKUP(D788,КЦСР!A519:B4523,2),IF(E788&gt;0,VLOOKUP(E788,КВР!A519:B2450,2)))))</f>
        <v>Обеспечение деятельности подведомственных учреждений</v>
      </c>
      <c r="B788" s="233"/>
      <c r="C788" s="234"/>
      <c r="D788" s="235">
        <v>4239900</v>
      </c>
      <c r="E788" s="331"/>
      <c r="F788" s="221">
        <v>400000</v>
      </c>
      <c r="G788" s="221">
        <v>399500</v>
      </c>
    </row>
    <row r="789" spans="1:7" ht="31.5">
      <c r="A789" s="231" t="str">
        <f>IF(B789&gt;0,VLOOKUP(B789,КВСР!A520:B1685,2),IF(C789&gt;0,VLOOKUP(C789,КФСР!A520:B2032,2),IF(D789&gt;0,VLOOKUP(D789,КЦСР!A520:B4524,2),IF(E789&gt;0,VLOOKUP(E789,КВР!A520:B2451,2)))))</f>
        <v>Субсидии бюджетным учреждениям на иные цели</v>
      </c>
      <c r="B789" s="233"/>
      <c r="C789" s="234"/>
      <c r="D789" s="235"/>
      <c r="E789" s="236">
        <v>612</v>
      </c>
      <c r="F789" s="221">
        <v>400000</v>
      </c>
      <c r="G789" s="221">
        <v>399500</v>
      </c>
    </row>
    <row r="790" spans="1:7" ht="22.5" customHeight="1">
      <c r="A790" s="231" t="str">
        <f>IF(B790&gt;0,VLOOKUP(B790,КВСР!A521:B1686,2),IF(C790&gt;0,VLOOKUP(C790,КФСР!A521:B2033,2),IF(D790&gt;0,VLOOKUP(D790,КЦСР!A521:B4525,2),IF(E790&gt;0,VLOOKUP(E790,КВР!A521:B2452,2)))))</f>
        <v>Другие вопросы в области образования</v>
      </c>
      <c r="B790" s="233"/>
      <c r="C790" s="234">
        <v>709</v>
      </c>
      <c r="D790" s="235"/>
      <c r="E790" s="236"/>
      <c r="F790" s="221">
        <v>4128622</v>
      </c>
      <c r="G790" s="221">
        <f t="shared" ref="G790:G793" si="112">G791</f>
        <v>4128622</v>
      </c>
    </row>
    <row r="791" spans="1:7">
      <c r="A791" s="231" t="str">
        <f>IF(B791&gt;0,VLOOKUP(B791,КВСР!A522:B1687,2),IF(C791&gt;0,VLOOKUP(C791,КФСР!A522:B2034,2),IF(D791&gt;0,VLOOKUP(D791,КЦСР!A522:B4526,2),IF(E791&gt;0,VLOOKUP(E791,КВР!A522:B2453,2)))))</f>
        <v>Региональные целевые программы</v>
      </c>
      <c r="B791" s="233"/>
      <c r="C791" s="243"/>
      <c r="D791" s="235">
        <v>5220000</v>
      </c>
      <c r="E791" s="236"/>
      <c r="F791" s="221">
        <v>4128622</v>
      </c>
      <c r="G791" s="221">
        <f t="shared" si="112"/>
        <v>4128622</v>
      </c>
    </row>
    <row r="792" spans="1:7" ht="63">
      <c r="A792" s="231" t="str">
        <f>IF(B792&gt;0,VLOOKUP(B792,КВСР!A523:B1688,2),IF(C792&gt;0,VLOOKUP(C792,КФСР!A523:B2035,2),IF(D792&gt;0,VLOOKUP(D792,КЦСР!A523:B4527,2),IF(E792&gt;0,VLOOKUP(E792,КВР!A523:B2454,2)))))</f>
        <v xml:space="preserve">Областная целевая программа "Развитие материально-технической базы физической культуры и спорта Ярославской области" </v>
      </c>
      <c r="B792" s="233"/>
      <c r="C792" s="234"/>
      <c r="D792" s="235">
        <v>5224600</v>
      </c>
      <c r="E792" s="236"/>
      <c r="F792" s="221">
        <v>4128622</v>
      </c>
      <c r="G792" s="221">
        <f t="shared" si="112"/>
        <v>4128622</v>
      </c>
    </row>
    <row r="793" spans="1:7" ht="111" customHeight="1">
      <c r="A793" s="231" t="str">
        <f>IF(B793&gt;0,VLOOKUP(B793,КВСР!A524:B1689,2),IF(C793&gt;0,VLOOKUP(C793,КФСР!A524:B2036,2),IF(D793&gt;0,VLOOKUP(D793,КЦСР!A524:B4528,2),IF(E793&gt;0,VLOOKUP(E793,КВР!A524:B2455,2)))))</f>
        <v>Областная целевая программа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v>
      </c>
      <c r="B793" s="233"/>
      <c r="C793" s="234"/>
      <c r="D793" s="235">
        <v>5224603</v>
      </c>
      <c r="E793" s="331"/>
      <c r="F793" s="221">
        <v>4128622</v>
      </c>
      <c r="G793" s="221">
        <f t="shared" si="112"/>
        <v>4128622</v>
      </c>
    </row>
    <row r="794" spans="1:7" ht="31.5">
      <c r="A794" s="231" t="str">
        <f>IF(B794&gt;0,VLOOKUP(B794,КВСР!A525:B1690,2),IF(C794&gt;0,VLOOKUP(C794,КФСР!A525:B2037,2),IF(D794&gt;0,VLOOKUP(D794,КЦСР!A525:B4529,2),IF(E794&gt;0,VLOOKUP(E794,КВР!A525:B2456,2)))))</f>
        <v>Субсидии бюджетным учреждениям на иные цели</v>
      </c>
      <c r="B794" s="233"/>
      <c r="C794" s="234"/>
      <c r="D794" s="235"/>
      <c r="E794" s="236">
        <v>612</v>
      </c>
      <c r="F794" s="221">
        <v>4128622</v>
      </c>
      <c r="G794" s="221">
        <v>4128622</v>
      </c>
    </row>
    <row r="795" spans="1:7">
      <c r="A795" s="231" t="str">
        <f>IF(B795&gt;0,VLOOKUP(B795,КВСР!A526:B1691,2),IF(C795&gt;0,VLOOKUP(C795,КФСР!A526:B2038,2),IF(D795&gt;0,VLOOKUP(D795,КЦСР!A526:B4530,2),IF(E795&gt;0,VLOOKUP(E795,КВР!A526:B2457,2)))))</f>
        <v>Культура</v>
      </c>
      <c r="B795" s="233"/>
      <c r="C795" s="234">
        <v>801</v>
      </c>
      <c r="D795" s="235"/>
      <c r="E795" s="236"/>
      <c r="F795" s="221">
        <v>800000</v>
      </c>
      <c r="G795" s="221">
        <f t="shared" ref="G795:G797" si="113">G796</f>
        <v>800000</v>
      </c>
    </row>
    <row r="796" spans="1:7" ht="31.5">
      <c r="A796" s="231" t="str">
        <f>IF(B796&gt;0,VLOOKUP(B796,КВСР!A527:B1692,2),IF(C796&gt;0,VLOOKUP(C796,КФСР!A527:B2039,2),IF(D796&gt;0,VLOOKUP(D796,КЦСР!A527:B4531,2),IF(E796&gt;0,VLOOKUP(E796,КВР!A527:B2458,2)))))</f>
        <v>Учреждения культуры и мероприятия в сфере культуры и кинематографии</v>
      </c>
      <c r="B796" s="233"/>
      <c r="C796" s="243"/>
      <c r="D796" s="235">
        <v>4400000</v>
      </c>
      <c r="E796" s="236"/>
      <c r="F796" s="221">
        <v>800000</v>
      </c>
      <c r="G796" s="221">
        <f t="shared" si="113"/>
        <v>800000</v>
      </c>
    </row>
    <row r="797" spans="1:7" ht="31.5">
      <c r="A797" s="231" t="str">
        <f>IF(B797&gt;0,VLOOKUP(B797,КВСР!A528:B1693,2),IF(C797&gt;0,VLOOKUP(C797,КФСР!A528:B2040,2),IF(D797&gt;0,VLOOKUP(D797,КЦСР!A528:B4532,2),IF(E797&gt;0,VLOOKUP(E797,КВР!A528:B2459,2)))))</f>
        <v>Обеспечение деятельности подведомственных учреждений</v>
      </c>
      <c r="B797" s="233"/>
      <c r="C797" s="234"/>
      <c r="D797" s="235">
        <v>4409900</v>
      </c>
      <c r="E797" s="331"/>
      <c r="F797" s="221">
        <v>800000</v>
      </c>
      <c r="G797" s="221">
        <f t="shared" si="113"/>
        <v>800000</v>
      </c>
    </row>
    <row r="798" spans="1:7" ht="31.5">
      <c r="A798" s="231" t="str">
        <f>IF(B798&gt;0,VLOOKUP(B798,КВСР!A529:B1694,2),IF(C798&gt;0,VLOOKUP(C798,КФСР!A529:B2041,2),IF(D798&gt;0,VLOOKUP(D798,КЦСР!A529:B4533,2),IF(E798&gt;0,VLOOKUP(E798,КВР!A529:B2460,2)))))</f>
        <v>Субсидии бюджетным учреждениям на иные цели</v>
      </c>
      <c r="B798" s="233"/>
      <c r="C798" s="234"/>
      <c r="D798" s="235"/>
      <c r="E798" s="236">
        <v>612</v>
      </c>
      <c r="F798" s="221">
        <v>800000</v>
      </c>
      <c r="G798" s="221">
        <v>800000</v>
      </c>
    </row>
    <row r="799" spans="1:7" ht="31.5">
      <c r="A799" s="231" t="str">
        <f>IF(B799&gt;0,VLOOKUP(B799,КВСР!A534:B1699,2),IF(C799&gt;0,VLOOKUP(C799,КФСР!A534:B2046,2),IF(D799&gt;0,VLOOKUP(D799,КЦСР!A534:B4538,2),IF(E799&gt;0,VLOOKUP(E799,КВР!A534:B2465,2)))))</f>
        <v>Другие вопросы в области здравоохранения</v>
      </c>
      <c r="B799" s="233"/>
      <c r="C799" s="234">
        <v>909</v>
      </c>
      <c r="D799" s="235"/>
      <c r="E799" s="236"/>
      <c r="F799" s="221">
        <v>440000</v>
      </c>
      <c r="G799" s="221">
        <f t="shared" ref="G799:G802" si="114">G800</f>
        <v>440000</v>
      </c>
    </row>
    <row r="800" spans="1:7" ht="47.25">
      <c r="A800" s="231" t="str">
        <f>IF(B800&gt;0,VLOOKUP(B800,КВСР!A535:B1700,2),IF(C800&gt;0,VLOOKUP(C800,КФСР!A535:B2047,2),IF(D800&gt;0,VLOOKUP(D800,КЦСР!A535:B4539,2),IF(E800&gt;0,VLOOKUP(E800,КВР!A535:B2466,2)))))</f>
        <v>Бюджетные инвестиции в объекты капитального строительства, не включенные в целевые программы</v>
      </c>
      <c r="B800" s="233"/>
      <c r="C800" s="243"/>
      <c r="D800" s="235">
        <v>1020000</v>
      </c>
      <c r="E800" s="236"/>
      <c r="F800" s="221">
        <v>440000</v>
      </c>
      <c r="G800" s="221">
        <f t="shared" si="114"/>
        <v>440000</v>
      </c>
    </row>
    <row r="801" spans="1:7" ht="110.25">
      <c r="A801" s="231" t="str">
        <f>IF(B801&gt;0,VLOOKUP(B801,КВСР!A536:B1701,2),IF(C801&gt;0,VLOOKUP(C801,КФСР!A536:B2048,2),IF(D801&gt;0,VLOOKUP(D801,КЦСР!A536:B4540,2),IF(E801&gt;0,VLOOKUP(E801,КВР!A536:B2467,2)))))</f>
        <v>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v>
      </c>
      <c r="B801" s="233"/>
      <c r="C801" s="234"/>
      <c r="D801" s="235">
        <v>1020100</v>
      </c>
      <c r="E801" s="236"/>
      <c r="F801" s="221">
        <v>440000</v>
      </c>
      <c r="G801" s="221">
        <f t="shared" si="114"/>
        <v>440000</v>
      </c>
    </row>
    <row r="802" spans="1:7" ht="63">
      <c r="A802" s="231" t="str">
        <f>IF(B802&gt;0,VLOOKUP(B802,КВСР!A537:B1702,2),IF(C802&gt;0,VLOOKUP(C802,КФСР!A537:B2049,2),IF(D802&gt;0,VLOOKUP(D802,КЦСР!A537:B4541,2),IF(E802&gt;0,VLOOKUP(E802,КВР!A537:B2468,2)))))</f>
        <v>Бюджетные инвестиции в объекты капитального строительства собственности муниципальных образований</v>
      </c>
      <c r="B802" s="233"/>
      <c r="C802" s="234"/>
      <c r="D802" s="235">
        <v>1020102</v>
      </c>
      <c r="E802" s="331"/>
      <c r="F802" s="221">
        <v>440000</v>
      </c>
      <c r="G802" s="221">
        <f t="shared" si="114"/>
        <v>440000</v>
      </c>
    </row>
    <row r="803" spans="1:7" ht="63">
      <c r="A803" s="231" t="str">
        <f>IF(B803&gt;0,VLOOKUP(B803,КВСР!A538:B1703,2),IF(C803&gt;0,VLOOKUP(C803,КФСР!A538:B2050,2),IF(D803&gt;0,VLOOKUP(D803,КЦСР!A538:B4542,2),IF(E803&gt;0,VLOOKUP(E803,КВР!A538:B2469,2)))))</f>
        <v>Субсидии на осуществление капитальных вложений в объекты капитального строительства бюджетным учреждениям</v>
      </c>
      <c r="B803" s="233"/>
      <c r="C803" s="234"/>
      <c r="D803" s="235"/>
      <c r="E803" s="236">
        <v>464</v>
      </c>
      <c r="F803" s="221">
        <v>440000</v>
      </c>
      <c r="G803" s="221">
        <v>440000</v>
      </c>
    </row>
    <row r="804" spans="1:7">
      <c r="A804" s="231" t="str">
        <f>IF(B804&gt;0,VLOOKUP(B804,КВСР!A539:B1704,2),IF(C804&gt;0,VLOOKUP(C804,КФСР!A539:B2051,2),IF(D804&gt;0,VLOOKUP(D804,КЦСР!A539:B4543,2),IF(E804&gt;0,VLOOKUP(E804,КВР!A539:B2470,2)))))</f>
        <v>Социальное обеспечение населения</v>
      </c>
      <c r="B804" s="233"/>
      <c r="C804" s="234">
        <v>1003</v>
      </c>
      <c r="D804" s="235"/>
      <c r="E804" s="236"/>
      <c r="F804" s="221">
        <v>5823622.75</v>
      </c>
      <c r="G804" s="221">
        <f>G805+G811</f>
        <v>5425826</v>
      </c>
    </row>
    <row r="805" spans="1:7">
      <c r="A805" s="231" t="str">
        <f>IF(B805&gt;0,VLOOKUP(B805,КВСР!A540:B1705,2),IF(C805&gt;0,VLOOKUP(C805,КФСР!A540:B2052,2),IF(D805&gt;0,VLOOKUP(D805,КЦСР!A540:B4544,2),IF(E805&gt;0,VLOOKUP(E805,КВР!A540:B2471,2)))))</f>
        <v>Федеральные целевые программы</v>
      </c>
      <c r="B805" s="233"/>
      <c r="C805" s="243"/>
      <c r="D805" s="235">
        <v>1000000</v>
      </c>
      <c r="E805" s="236"/>
      <c r="F805" s="221">
        <v>3644502.75</v>
      </c>
      <c r="G805" s="221">
        <f t="shared" ref="G805:G807" si="115">G806</f>
        <v>3246706</v>
      </c>
    </row>
    <row r="806" spans="1:7" ht="31.5">
      <c r="A806" s="231" t="str">
        <f>IF(B806&gt;0,VLOOKUP(B806,КВСР!A541:B1706,2),IF(C806&gt;0,VLOOKUP(C806,КФСР!A541:B2053,2),IF(D806&gt;0,VLOOKUP(D806,КЦСР!A541:B4545,2),IF(E806&gt;0,VLOOKUP(E806,КВР!A541:B2472,2)))))</f>
        <v>Федеральная целевая программа "Жилище" на 2011 - 2015 годы</v>
      </c>
      <c r="B806" s="233"/>
      <c r="C806" s="234"/>
      <c r="D806" s="235">
        <v>1008800</v>
      </c>
      <c r="E806" s="236"/>
      <c r="F806" s="221">
        <v>3644502.75</v>
      </c>
      <c r="G806" s="221">
        <f>G807+G809</f>
        <v>3246706</v>
      </c>
    </row>
    <row r="807" spans="1:7" ht="47.25">
      <c r="A807" s="231" t="str">
        <f>IF(B807&gt;0,VLOOKUP(B807,КВСР!A542:B1707,2),IF(C807&gt;0,VLOOKUP(C807,КФСР!A542:B2054,2),IF(D807&gt;0,VLOOKUP(D807,КЦСР!A542:B4546,2),IF(E807&gt;0,VLOOKUP(E807,КВР!A542:B2473,2)))))</f>
        <v>Субсидия на реализацию Подпрограммы "Обеспечение жильем молодых семей" ФЦП "Жилище"</v>
      </c>
      <c r="B807" s="233"/>
      <c r="C807" s="234"/>
      <c r="D807" s="235">
        <v>1008821</v>
      </c>
      <c r="E807" s="331"/>
      <c r="F807" s="221">
        <v>963799.75</v>
      </c>
      <c r="G807" s="221">
        <f t="shared" si="115"/>
        <v>963800</v>
      </c>
    </row>
    <row r="808" spans="1:7" ht="78.75">
      <c r="A808" s="231" t="str">
        <f>IF(B808&gt;0,VLOOKUP(B808,КВСР!A543:B1708,2),IF(C808&gt;0,VLOOKUP(C808,КФСР!A543:B2055,2),IF(D808&gt;0,VLOOKUP(D808,КЦСР!A543:B4547,2),IF(E808&gt;0,VLOOKUP(E808,КВР!A543:B2474,2)))))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808" s="233"/>
      <c r="C808" s="234"/>
      <c r="D808" s="235"/>
      <c r="E808" s="236">
        <v>521</v>
      </c>
      <c r="F808" s="221">
        <v>963799.75</v>
      </c>
      <c r="G808" s="325">
        <v>963800</v>
      </c>
    </row>
    <row r="809" spans="1:7" ht="63">
      <c r="A809" s="231" t="str">
        <f>IF(B809&gt;0,VLOOKUP(B809,КВСР!A544:B1709,2),IF(C809&gt;0,VLOOKUP(C809,КФСР!A544:B2056,2),IF(D809&gt;0,VLOOKUP(D809,КЦСР!A544:B4548,2),IF(E809&gt;0,VLOOKUP(E809,КВР!A544:B2475,2)))))</f>
        <v>Подпрограмма "Господдержка молодых семей Ярославской области в приобретении (строительстве) жилья.</v>
      </c>
      <c r="B809" s="233"/>
      <c r="C809" s="234"/>
      <c r="D809" s="235">
        <v>1008822</v>
      </c>
      <c r="E809" s="331"/>
      <c r="F809" s="221">
        <v>2680703</v>
      </c>
      <c r="G809" s="221">
        <f t="shared" ref="G809" si="116">G810</f>
        <v>2282906</v>
      </c>
    </row>
    <row r="810" spans="1:7" ht="78.75">
      <c r="A810" s="231" t="str">
        <f>IF(B810&gt;0,VLOOKUP(B810,КВСР!A545:B1710,2),IF(C810&gt;0,VLOOKUP(C810,КФСР!A545:B2057,2),IF(D810&gt;0,VLOOKUP(D810,КЦСР!A545:B4549,2),IF(E810&gt;0,VLOOKUP(E810,КВР!A545:B2476,2)))))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810" s="233"/>
      <c r="C810" s="234"/>
      <c r="D810" s="235"/>
      <c r="E810" s="236">
        <v>521</v>
      </c>
      <c r="F810" s="221">
        <v>2680703</v>
      </c>
      <c r="G810" s="221">
        <v>2282906</v>
      </c>
    </row>
    <row r="811" spans="1:7">
      <c r="A811" s="231" t="str">
        <f>IF(B811&gt;0,VLOOKUP(B811,КВСР!A546:B1711,2),IF(C811&gt;0,VLOOKUP(C811,КФСР!A546:B2058,2),IF(D811&gt;0,VLOOKUP(D811,КЦСР!A546:B4550,2),IF(E811&gt;0,VLOOKUP(E811,КВР!A546:B2477,2)))))</f>
        <v>Региональные целевые программы</v>
      </c>
      <c r="B811" s="232"/>
      <c r="C811" s="234"/>
      <c r="D811" s="229">
        <v>5220000</v>
      </c>
      <c r="E811" s="331"/>
      <c r="F811" s="221">
        <v>2179120</v>
      </c>
      <c r="G811" s="221">
        <f t="shared" ref="G811:G812" si="117">G812</f>
        <v>2179120</v>
      </c>
    </row>
    <row r="812" spans="1:7" ht="47.25">
      <c r="A812" s="231" t="str">
        <f>IF(B812&gt;0,VLOOKUP(B812,КВСР!A547:B1712,2),IF(C812&gt;0,VLOOKUP(C812,КФСР!A547:B2059,2),IF(D812&gt;0,VLOOKUP(D812,КЦСР!A547:B4551,2),IF(E812&gt;0,VLOOKUP(E812,КВР!A547:B2478,2)))))</f>
        <v>ОЦП "Обеспечение муниципальных районов документацией территориального планирования"</v>
      </c>
      <c r="B812" s="233"/>
      <c r="C812" s="234"/>
      <c r="D812" s="235">
        <v>5225900</v>
      </c>
      <c r="E812" s="236"/>
      <c r="F812" s="221">
        <v>2179120</v>
      </c>
      <c r="G812" s="221">
        <f t="shared" si="117"/>
        <v>2179120</v>
      </c>
    </row>
    <row r="813" spans="1:7" ht="47.25">
      <c r="A813" s="231" t="str">
        <f>IF(B813&gt;0,VLOOKUP(B813,КВСР!A548:B1713,2),IF(C813&gt;0,VLOOKUP(C813,КФСР!A548:B2060,2),IF(D813&gt;0,VLOOKUP(D813,КЦСР!A548:B4552,2),IF(E813&gt;0,VLOOKUP(E813,КВР!A548:B2479,2)))))</f>
        <v>ОЦП "Обеспечение муниципальных районов документацией территориального планирования"</v>
      </c>
      <c r="B813" s="233"/>
      <c r="C813" s="234"/>
      <c r="D813" s="235">
        <v>5225901</v>
      </c>
      <c r="E813" s="331"/>
      <c r="F813" s="221">
        <v>2179120</v>
      </c>
      <c r="G813" s="221">
        <f>SUM(G814:G815)</f>
        <v>2179120</v>
      </c>
    </row>
    <row r="814" spans="1:7" ht="31.5">
      <c r="A814" s="231" t="str">
        <f>IF(B814&gt;0,VLOOKUP(B814,КВСР!A549:B1714,2),IF(C814&gt;0,VLOOKUP(C814,КФСР!A549:B2061,2),IF(D814&gt;0,VLOOKUP(D814,КЦСР!A549:B4553,2),IF(E814&gt;0,VLOOKUP(E814,КВР!A549:B2480,2)))))</f>
        <v>Приобретение товаров, работ, услуг в пользу граждан</v>
      </c>
      <c r="B814" s="233"/>
      <c r="C814" s="234"/>
      <c r="D814" s="235"/>
      <c r="E814" s="236">
        <v>323</v>
      </c>
      <c r="F814" s="221">
        <v>1289560</v>
      </c>
      <c r="G814" s="221">
        <v>1289560</v>
      </c>
    </row>
    <row r="815" spans="1:7">
      <c r="A815" s="231" t="str">
        <f>IF(B815&gt;0,VLOOKUP(B815,КВСР!A550:B1715,2),IF(C815&gt;0,VLOOKUP(C815,КФСР!A550:B2062,2),IF(D815&gt;0,VLOOKUP(D815,КЦСР!A550:B4554,2),IF(E815&gt;0,VLOOKUP(E815,КВР!A550:B2481,2)))))</f>
        <v xml:space="preserve">Иные межбюджетные трансферты </v>
      </c>
      <c r="B815" s="233"/>
      <c r="C815" s="234"/>
      <c r="D815" s="235"/>
      <c r="E815" s="236">
        <v>540</v>
      </c>
      <c r="F815" s="221">
        <v>889560</v>
      </c>
      <c r="G815" s="221">
        <v>889560</v>
      </c>
    </row>
    <row r="816" spans="1:7" ht="31.5">
      <c r="A816" s="231" t="str">
        <f>IF(B816&gt;0,VLOOKUP(B816,КВСР!A551:B1716,2),IF(C816&gt;0,VLOOKUP(C816,КФСР!A551:B2063,2),IF(D816&gt;0,VLOOKUP(D816,КЦСР!A551:B4555,2),IF(E816&gt;0,VLOOKUP(E816,КВР!A551:B2482,2)))))</f>
        <v>Другие вопросы в области социальной политики</v>
      </c>
      <c r="B816" s="233"/>
      <c r="C816" s="234">
        <v>1006</v>
      </c>
      <c r="D816" s="235"/>
      <c r="E816" s="236"/>
      <c r="F816" s="221">
        <v>342638</v>
      </c>
      <c r="G816" s="221">
        <f t="shared" ref="G816:G819" si="118">G817</f>
        <v>242638</v>
      </c>
    </row>
    <row r="817" spans="1:7" ht="47.25">
      <c r="A817" s="231" t="str">
        <f>IF(B817&gt;0,VLOOKUP(B817,КВСР!A552:B1717,2),IF(C817&gt;0,VLOOKUP(C817,КФСР!A552:B2064,2),IF(D817&gt;0,VLOOKUP(D817,КЦСР!A552:B4556,2),IF(E817&gt;0,VLOOKUP(E817,КВР!A552:B2483,2)))))</f>
        <v>Бюджетные инвестиции в объекты капитального строительства, не включенные в целевые программы</v>
      </c>
      <c r="B817" s="233"/>
      <c r="C817" s="243"/>
      <c r="D817" s="235">
        <v>1020000</v>
      </c>
      <c r="E817" s="236"/>
      <c r="F817" s="221">
        <v>342638</v>
      </c>
      <c r="G817" s="221">
        <f t="shared" si="118"/>
        <v>242638</v>
      </c>
    </row>
    <row r="818" spans="1:7" ht="110.25">
      <c r="A818" s="231" t="str">
        <f>IF(B818&gt;0,VLOOKUP(B818,КВСР!A553:B1718,2),IF(C818&gt;0,VLOOKUP(C818,КФСР!A553:B2065,2),IF(D818&gt;0,VLOOKUP(D818,КЦСР!A553:B4557,2),IF(E818&gt;0,VLOOKUP(E818,КВР!A553:B2484,2)))))</f>
        <v>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v>
      </c>
      <c r="B818" s="233"/>
      <c r="C818" s="234"/>
      <c r="D818" s="235">
        <v>1020100</v>
      </c>
      <c r="E818" s="236"/>
      <c r="F818" s="221">
        <v>342638</v>
      </c>
      <c r="G818" s="221">
        <f t="shared" si="118"/>
        <v>242638</v>
      </c>
    </row>
    <row r="819" spans="1:7" ht="63">
      <c r="A819" s="231" t="str">
        <f>IF(B819&gt;0,VLOOKUP(B819,КВСР!A554:B1719,2),IF(C819&gt;0,VLOOKUP(C819,КФСР!A554:B2066,2),IF(D819&gt;0,VLOOKUP(D819,КЦСР!A554:B4558,2),IF(E819&gt;0,VLOOKUP(E819,КВР!A554:B2485,2)))))</f>
        <v>Бюджетные инвестиции в объекты капитального строительства собственности муниципальных образований</v>
      </c>
      <c r="B819" s="233"/>
      <c r="C819" s="234"/>
      <c r="D819" s="235">
        <v>1020102</v>
      </c>
      <c r="E819" s="331"/>
      <c r="F819" s="221">
        <v>342638</v>
      </c>
      <c r="G819" s="221">
        <f t="shared" si="118"/>
        <v>242638</v>
      </c>
    </row>
    <row r="820" spans="1:7" ht="63">
      <c r="A820" s="231" t="str">
        <f>IF(B820&gt;0,VLOOKUP(B820,КВСР!A555:B1720,2),IF(C820&gt;0,VLOOKUP(C820,КФСР!A555:B2067,2),IF(D820&gt;0,VLOOKUP(D820,КЦСР!A555:B4559,2),IF(E820&gt;0,VLOOKUP(E820,КВР!A555:B2486,2)))))</f>
        <v>Субсидии на осуществление капитальных вложений в объекты капитального строительства бюджетным учреждениям</v>
      </c>
      <c r="B820" s="233"/>
      <c r="C820" s="234"/>
      <c r="D820" s="235"/>
      <c r="E820" s="236">
        <v>464</v>
      </c>
      <c r="F820" s="221">
        <v>342638</v>
      </c>
      <c r="G820" s="221">
        <v>242638</v>
      </c>
    </row>
    <row r="821" spans="1:7">
      <c r="A821" s="231" t="str">
        <f>IF(B821&gt;0,VLOOKUP(B821,КВСР!A556:B1721,2),IF(C821&gt;0,VLOOKUP(C821,КФСР!A556:B2068,2),IF(D821&gt;0,VLOOKUP(D821,КЦСР!A556:B4560,2),IF(E821&gt;0,VLOOKUP(E821,КВР!A556:B2487,2)))))</f>
        <v>Массовый спорт</v>
      </c>
      <c r="B821" s="233"/>
      <c r="C821" s="234">
        <v>1102</v>
      </c>
      <c r="D821" s="235"/>
      <c r="E821" s="236"/>
      <c r="F821" s="221">
        <v>4843567</v>
      </c>
      <c r="G821" s="221">
        <f>G823+G827</f>
        <v>4843563</v>
      </c>
    </row>
    <row r="822" spans="1:7" ht="47.25">
      <c r="A822" s="231" t="str">
        <f>IF(B822&gt;0,VLOOKUP(B822,КВСР!A557:B1722,2),IF(C822&gt;0,VLOOKUP(C822,КФСР!A557:B2069,2),IF(D822&gt;0,VLOOKUP(D822,КЦСР!A557:B4561,2),IF(E822&gt;0,VLOOKUP(E822,КВР!A557:B2488,2)))))</f>
        <v>Бюджетные инвестиции в объекты капитального строительства, не включенные в целевые программы</v>
      </c>
      <c r="B822" s="233"/>
      <c r="C822" s="243"/>
      <c r="D822" s="235">
        <v>1020000</v>
      </c>
      <c r="E822" s="236"/>
      <c r="F822" s="221">
        <v>775200</v>
      </c>
      <c r="G822" s="221">
        <f t="shared" ref="G822:G823" si="119">G823</f>
        <v>775196</v>
      </c>
    </row>
    <row r="823" spans="1:7" ht="110.25">
      <c r="A823" s="231" t="str">
        <f>IF(B823&gt;0,VLOOKUP(B823,КВСР!A558:B1723,2),IF(C823&gt;0,VLOOKUP(C823,КФСР!A558:B2070,2),IF(D823&gt;0,VLOOKUP(D823,КЦСР!A558:B4562,2),IF(E823&gt;0,VLOOKUP(E823,КВР!A558:B2489,2)))))</f>
        <v>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v>
      </c>
      <c r="B823" s="233"/>
      <c r="C823" s="234"/>
      <c r="D823" s="235">
        <v>1020100</v>
      </c>
      <c r="E823" s="236"/>
      <c r="F823" s="221">
        <v>775200</v>
      </c>
      <c r="G823" s="221">
        <f t="shared" si="119"/>
        <v>775196</v>
      </c>
    </row>
    <row r="824" spans="1:7" ht="63">
      <c r="A824" s="231" t="str">
        <f>IF(B824&gt;0,VLOOKUP(B824,КВСР!A559:B1724,2),IF(C824&gt;0,VLOOKUP(C824,КФСР!A559:B2071,2),IF(D824&gt;0,VLOOKUP(D824,КЦСР!A559:B4563,2),IF(E824&gt;0,VLOOKUP(E824,КВР!A559:B2490,2)))))</f>
        <v>Субсидии на осуществление капитальных вложений в объекты капитального строительства бюджетным учреждениям</v>
      </c>
      <c r="B824" s="233"/>
      <c r="C824" s="234"/>
      <c r="D824" s="235"/>
      <c r="E824" s="236">
        <v>464</v>
      </c>
      <c r="F824" s="221">
        <v>775200</v>
      </c>
      <c r="G824" s="221">
        <v>775196</v>
      </c>
    </row>
    <row r="825" spans="1:7">
      <c r="A825" s="231" t="str">
        <f>IF(B825&gt;0,VLOOKUP(B825,КВСР!A560:B1725,2),IF(C825&gt;0,VLOOKUP(C825,КФСР!A560:B2072,2),IF(D825&gt;0,VLOOKUP(D825,КЦСР!A560:B4564,2),IF(E825&gt;0,VLOOKUP(E825,КВР!A560:B2491,2)))))</f>
        <v>Региональные целевые программы</v>
      </c>
      <c r="B825" s="233"/>
      <c r="C825" s="234"/>
      <c r="D825" s="235">
        <v>5220000</v>
      </c>
      <c r="E825" s="331"/>
      <c r="F825" s="221">
        <v>4068367</v>
      </c>
      <c r="G825" s="221">
        <f t="shared" ref="G825:G827" si="120">G826</f>
        <v>4068367</v>
      </c>
    </row>
    <row r="826" spans="1:7" ht="63">
      <c r="A826" s="231" t="str">
        <f>IF(B826&gt;0,VLOOKUP(B826,КВСР!A561:B1726,2),IF(C826&gt;0,VLOOKUP(C826,КФСР!A561:B2073,2),IF(D826&gt;0,VLOOKUP(D826,КЦСР!A561:B4565,2),IF(E826&gt;0,VLOOKUP(E826,КВР!A561:B2492,2)))))</f>
        <v xml:space="preserve">Областная целевая программа "Развитие материально-технической базы физической культуры и спорта Ярославской области" </v>
      </c>
      <c r="B826" s="233"/>
      <c r="C826" s="234"/>
      <c r="D826" s="235">
        <v>5224600</v>
      </c>
      <c r="E826" s="236"/>
      <c r="F826" s="221">
        <v>4068367</v>
      </c>
      <c r="G826" s="221">
        <f t="shared" si="120"/>
        <v>4068367</v>
      </c>
    </row>
    <row r="827" spans="1:7" ht="94.5">
      <c r="A827" s="231" t="str">
        <f>IF(B827&gt;0,VLOOKUP(B827,КВСР!A563:B1728,2),IF(C827&gt;0,VLOOKUP(C827,КФСР!A563:B2075,2),IF(D827&gt;0,VLOOKUP(D827,КЦСР!A563:B4567,2),IF(E827&gt;0,VLOOKUP(E827,КВР!A563:B2494,2)))))</f>
        <v>Областная целевая программа "Развитие материально-технической базы физической культуры и спорта Ярославской области" в части строительства (реконструкции) спортивных объектов</v>
      </c>
      <c r="B827" s="233"/>
      <c r="C827" s="234"/>
      <c r="D827" s="235">
        <v>5224602</v>
      </c>
      <c r="E827" s="331"/>
      <c r="F827" s="221">
        <v>4068367</v>
      </c>
      <c r="G827" s="221">
        <f t="shared" si="120"/>
        <v>4068367</v>
      </c>
    </row>
    <row r="828" spans="1:7" ht="60.75" customHeight="1">
      <c r="A828" s="231" t="str">
        <f>IF(B828&gt;0,VLOOKUP(B828,КВСР!A564:B1729,2),IF(C828&gt;0,VLOOKUP(C828,КФСР!A564:B2076,2),IF(D828&gt;0,VLOOKUP(D828,КЦСР!A564:B4568,2),IF(E828&gt;0,VLOOKUP(E828,КВР!A564:B2495,2)))))</f>
        <v>Субсидии на осуществление капитальных вложений в объекты капитального строительства бюджетным учреждениям</v>
      </c>
      <c r="B828" s="233"/>
      <c r="C828" s="234"/>
      <c r="D828" s="235"/>
      <c r="E828" s="236">
        <v>464</v>
      </c>
      <c r="F828" s="221">
        <v>4068367</v>
      </c>
      <c r="G828" s="221">
        <v>4068367</v>
      </c>
    </row>
    <row r="829" spans="1:7" s="141" customFormat="1" hidden="1">
      <c r="A829" s="226" t="str">
        <f>IF(B829&gt;0,VLOOKUP(B829,КВСР!A488:B1653,2),IF(C830&gt;0,VLOOKUP(C830,КФСР!A488:B2000,2),IF(D829&gt;0,VLOOKUP(D829,КЦСР!A488:B4492,2),IF(#REF!&gt;0,VLOOKUP(#REF!,КВР!A488:B2419,2)))))</f>
        <v>Муниципальный совет ТМР</v>
      </c>
      <c r="B829" s="247">
        <v>974</v>
      </c>
      <c r="C829" s="234"/>
      <c r="D829" s="248"/>
      <c r="E829" s="236"/>
      <c r="F829" s="222">
        <v>0</v>
      </c>
      <c r="G829" s="222"/>
    </row>
    <row r="830" spans="1:7" ht="78.75" hidden="1">
      <c r="A830" s="231" t="str">
        <f>IF(B830&gt;0,VLOOKUP(B830,КВСР!A489:B1654,2),IF(C831&gt;0,VLOOKUP(C831,КФСР!A489:B2001,2),IF(D830&gt;0,VLOOKUP(D830,КЦСР!A489:B4493,2),IF(E829&gt;0,VLOOKUP(E829,КВР!A489:B2420,2)))))</f>
        <v>Функционирование законодательных (представительных) органов государственной власти и представительных органов муниципальных образований</v>
      </c>
      <c r="B830" s="233"/>
      <c r="C830" s="249"/>
      <c r="D830" s="235"/>
      <c r="E830" s="236"/>
      <c r="F830" s="221">
        <v>0</v>
      </c>
      <c r="G830" s="221"/>
    </row>
    <row r="831" spans="1:7" ht="31.5" hidden="1">
      <c r="A831" s="231" t="str">
        <f>IF(B831&gt;0,VLOOKUP(B831,КВСР!A490:B1655,2),IF(C832&gt;0,VLOOKUP(C832,КФСР!A490:B2002,2),IF(D831&gt;0,VLOOKUP(D831,КЦСР!A490:B4494,2),IF(E830&gt;0,VLOOKUP(E830,КВР!A490:B2421,2)))))</f>
        <v>Депутаты представительного органа муниципального образования</v>
      </c>
      <c r="B831" s="233"/>
      <c r="C831" s="234">
        <v>103</v>
      </c>
      <c r="D831" s="235">
        <v>21200</v>
      </c>
      <c r="E831" s="331"/>
      <c r="F831" s="221">
        <v>0</v>
      </c>
      <c r="G831" s="221"/>
    </row>
    <row r="832" spans="1:7" ht="47.25" hidden="1">
      <c r="A832" s="231" t="str">
        <f>IF(B832&gt;0,VLOOKUP(B832,КВСР!A491:B1656,2),IF(C833&gt;0,VLOOKUP(C833,КФСР!A491:B2003,2),IF(D832&gt;0,VLOOKUP(D832,КЦСР!A491:B4495,2),IF(E832&gt;0,VLOOKUP(E832,КВР!A491:B2422,2)))))</f>
        <v>Закупка товаров, работ, услуг в сфере информационно-коммуникационных технологий</v>
      </c>
      <c r="B832" s="233"/>
      <c r="C832" s="234"/>
      <c r="D832" s="235"/>
      <c r="E832" s="236">
        <v>242</v>
      </c>
      <c r="F832" s="221">
        <v>0</v>
      </c>
      <c r="G832" s="221"/>
    </row>
    <row r="833" spans="1:7" ht="31.5" hidden="1">
      <c r="A833" s="231" t="str">
        <f>IF(B833&gt;0,VLOOKUP(B833,КВСР!A491:B1656,2),IF(C834&gt;0,VLOOKUP(C834,КФСР!A491:B2003,2),IF(D833&gt;0,VLOOKUP(D833,КЦСР!A491:B4495,2),IF(E833&gt;0,VLOOKUP(E833,КВР!A491:B2422,2)))))</f>
        <v>Прочая закупка товаров, работ и услуг для государственных нужд</v>
      </c>
      <c r="B833" s="233"/>
      <c r="C833" s="234"/>
      <c r="D833" s="235"/>
      <c r="E833" s="236">
        <v>244</v>
      </c>
      <c r="F833" s="221">
        <v>0</v>
      </c>
      <c r="G833" s="221"/>
    </row>
    <row r="834" spans="1:7">
      <c r="A834" s="226" t="str">
        <f>IF(B834&gt;0,VLOOKUP(B834,КВСР!A481:B1646,2),IF(#REF!&gt;0,VLOOKUP(#REF!,КФСР!A481:B1993,2),IF(D834&gt;0,VLOOKUP(D834,КЦСР!A481:B4485,2),IF(#REF!&gt;0,VLOOKUP(#REF!,КВР!A481:B2412,2)))))</f>
        <v>МУ Контрольно-счетная палата ТМР</v>
      </c>
      <c r="B834" s="227">
        <v>982</v>
      </c>
      <c r="C834" s="234"/>
      <c r="D834" s="250"/>
      <c r="E834" s="230"/>
      <c r="F834" s="222">
        <v>1553240</v>
      </c>
      <c r="G834" s="222">
        <f>G835</f>
        <v>1546583</v>
      </c>
    </row>
    <row r="835" spans="1:7" ht="63" customHeight="1">
      <c r="A835" s="231" t="str">
        <f>IF(B835&gt;0,VLOOKUP(B835,КВСР!A482:B1647,2),IF(C835&gt;0,VLOOKUP(C835,КФСР!A482:B1994,2),IF(D835&gt;0,VLOOKUP(D835,КЦСР!A482:B4486,2),IF(E835&gt;0,VLOOKUP(E835,КВР!A482:B2413,2)))))</f>
        <v>Обеспечение деятельности финансовых, налоговых и таможенных органов и органов финансового (финансово-бюджетного) надзора</v>
      </c>
      <c r="B835" s="232"/>
      <c r="C835" s="234">
        <v>106</v>
      </c>
      <c r="D835" s="229"/>
      <c r="E835" s="230"/>
      <c r="F835" s="221">
        <v>1553240</v>
      </c>
      <c r="G835" s="221">
        <f>G837+G843</f>
        <v>1546583</v>
      </c>
    </row>
    <row r="836" spans="1:7" ht="78.75">
      <c r="A836" s="231" t="str">
        <f>IF(B836&gt;0,VLOOKUP(B836,КВСР!A483:B1648,2),IF(C837&gt;0,VLOOKUP(C837,КФСР!A483:B1995,2),IF(D836&gt;0,VLOOKUP(D836,КЦСР!A483:B4487,2),IF(E835&gt;0,VLOOKUP(E835,КВР!A483:B2414,2)))))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836" s="232"/>
      <c r="C836" s="243"/>
      <c r="D836" s="229">
        <v>20000</v>
      </c>
      <c r="E836" s="230"/>
      <c r="F836" s="221">
        <v>1553240</v>
      </c>
      <c r="G836" s="221">
        <f t="shared" ref="G836" si="121">G837</f>
        <v>1001979</v>
      </c>
    </row>
    <row r="837" spans="1:7" ht="31.5">
      <c r="A837" s="231" t="str">
        <f>IF(B831&gt;0,VLOOKUP(B831,КВСР!A484:B1649,2),IF(C832&gt;0,VLOOKUP(C832,КФСР!A484:B1996,2),IF(D831&gt;0,VLOOKUP(D831,КЦСР!A484:B4488,2),IF(E830&gt;0,VLOOKUP(E830,КВР!A484:B2415,2)))))</f>
        <v>Депутаты представительного органа муниципального образования</v>
      </c>
      <c r="B837" s="232"/>
      <c r="C837" s="234"/>
      <c r="D837" s="229">
        <v>20400</v>
      </c>
      <c r="E837" s="331"/>
      <c r="F837" s="221">
        <v>1007384</v>
      </c>
      <c r="G837" s="221">
        <f>SUM(G838:G842)</f>
        <v>1001979</v>
      </c>
    </row>
    <row r="838" spans="1:7" ht="17.25" customHeight="1">
      <c r="A838" s="231" t="str">
        <f>IF(B838&gt;0,VLOOKUP(B838,КВСР!A485:B1650,2),IF(C839&gt;0,VLOOKUP(C839,КФСР!A485:B1997,2),IF(D838&gt;0,VLOOKUP(D838,КЦСР!A485:B4489,2),IF(E838&gt;0,VLOOKUP(E838,КВР!A485:B2416,2)))))</f>
        <v>Фонд оплаты труда и страховые взносы</v>
      </c>
      <c r="B838" s="232"/>
      <c r="C838" s="228"/>
      <c r="D838" s="229"/>
      <c r="E838" s="230">
        <v>121</v>
      </c>
      <c r="F838" s="221">
        <v>788270</v>
      </c>
      <c r="G838" s="221">
        <v>784668</v>
      </c>
    </row>
    <row r="839" spans="1:7" ht="31.5">
      <c r="A839" s="231" t="str">
        <f>IF(B839&gt;0,VLOOKUP(B839,КВСР!A486:B1651,2),IF(C840&gt;0,VLOOKUP(C840,КФСР!A486:B1998,2),IF(D839&gt;0,VLOOKUP(D839,КЦСР!A486:B4490,2),IF(E839&gt;0,VLOOKUP(E839,КВР!A486:B2417,2)))))</f>
        <v>Иные выплаты персоналу, за исключением фонда оплаты труда</v>
      </c>
      <c r="B839" s="232"/>
      <c r="C839" s="228"/>
      <c r="D839" s="229"/>
      <c r="E839" s="230">
        <v>122</v>
      </c>
      <c r="F839" s="221">
        <v>0</v>
      </c>
      <c r="G839" s="221"/>
    </row>
    <row r="840" spans="1:7" ht="47.25">
      <c r="A840" s="231" t="str">
        <f>IF(B840&gt;0,VLOOKUP(B840,КВСР!A487:B1652,2),IF(C841&gt;0,VLOOKUP(C841,КФСР!A487:B1999,2),IF(D840&gt;0,VLOOKUP(D840,КЦСР!A487:B4491,2),IF(E840&gt;0,VLOOKUP(E840,КВР!A487:B2418,2)))))</f>
        <v>Закупка товаров, работ, услуг в сфере информационно-коммуникационных технологий</v>
      </c>
      <c r="B840" s="232"/>
      <c r="C840" s="228"/>
      <c r="D840" s="229"/>
      <c r="E840" s="230">
        <v>242</v>
      </c>
      <c r="F840" s="221">
        <v>144460</v>
      </c>
      <c r="G840" s="221">
        <v>144458</v>
      </c>
    </row>
    <row r="841" spans="1:7" ht="31.5">
      <c r="A841" s="231" t="str">
        <f>IF(B841&gt;0,VLOOKUP(B841,КВСР!A488:B1653,2),IF(C842&gt;0,VLOOKUP(C842,КФСР!A488:B2000,2),IF(D841&gt;0,VLOOKUP(D841,КЦСР!A488:B4492,2),IF(E841&gt;0,VLOOKUP(E841,КВР!A488:B2419,2)))))</f>
        <v>Прочая закупка товаров, работ и услуг для государственных нужд</v>
      </c>
      <c r="B841" s="232"/>
      <c r="C841" s="228"/>
      <c r="D841" s="229"/>
      <c r="E841" s="230">
        <v>244</v>
      </c>
      <c r="F841" s="221">
        <v>74084</v>
      </c>
      <c r="G841" s="221">
        <v>72291</v>
      </c>
    </row>
    <row r="842" spans="1:7" ht="31.5">
      <c r="A842" s="231" t="str">
        <f>IF(B842&gt;0,VLOOKUP(B842,КВСР!A489:B1654,2),IF(C842&gt;0,VLOOKUP(C842,КФСР!A489:B2001,2),IF(D842&gt;0,VLOOKUP(D842,КЦСР!A489:B4493,2),IF(E842&gt;0,VLOOKUP(E842,КВР!A489:B2420,2)))))</f>
        <v>Уплата прочих налогов, сборов и иных обязательных платежей</v>
      </c>
      <c r="B842" s="232"/>
      <c r="C842" s="228"/>
      <c r="D842" s="229"/>
      <c r="E842" s="230">
        <v>852</v>
      </c>
      <c r="F842" s="221">
        <v>570</v>
      </c>
      <c r="G842" s="221">
        <v>562</v>
      </c>
    </row>
    <row r="843" spans="1:7" ht="47.25">
      <c r="A843" s="231" t="str">
        <f>IF(B843&gt;0,VLOOKUP(B843,КВСР!A490:B1655,2),IF(C844&gt;0,VLOOKUP(C844,КФСР!A490:B2002,2),IF(D843&gt;0,VLOOKUP(D843,КЦСР!A490:B4494,2),IF(#REF!&gt;0,VLOOKUP(#REF!,КВР!A490:B2421,2)))))</f>
        <v>Руководитель контрольно-счетной палаты муниципального образования и его заместители</v>
      </c>
      <c r="B843" s="232"/>
      <c r="C843" s="228"/>
      <c r="D843" s="229">
        <v>22500</v>
      </c>
      <c r="E843" s="331"/>
      <c r="F843" s="221">
        <v>545856</v>
      </c>
      <c r="G843" s="221">
        <f>SUM(G844:G845)</f>
        <v>544604</v>
      </c>
    </row>
    <row r="844" spans="1:7" ht="18.75" customHeight="1">
      <c r="A844" s="231" t="str">
        <f>IF(B844&gt;0,VLOOKUP(B844,КВСР!A491:B1656,2),IF(C845&gt;0,VLOOKUP(C845,КФСР!A491:B2003,2),IF(D844&gt;0,VLOOKUP(D844,КЦСР!A491:B4495,2),IF(E844&gt;0,VLOOKUP(E844,КВР!A491:B2422,2)))))</f>
        <v>Фонд оплаты труда и страховые взносы</v>
      </c>
      <c r="B844" s="233"/>
      <c r="C844" s="228"/>
      <c r="D844" s="235"/>
      <c r="E844" s="236">
        <v>121</v>
      </c>
      <c r="F844" s="221">
        <v>545856</v>
      </c>
      <c r="G844" s="221">
        <v>544604</v>
      </c>
    </row>
    <row r="845" spans="1:7" ht="31.5" hidden="1">
      <c r="A845" s="231" t="str">
        <f>IF(B845&gt;0,VLOOKUP(B845,КВСР!A492:B1657,2),IF(C846&gt;0,VLOOKUP(C846,КФСР!A492:B2004,2),IF(D845&gt;0,VLOOKUP(D845,КЦСР!A492:B4496,2),IF(E845&gt;0,VLOOKUP(E845,КВР!A492:B2423,2)))))</f>
        <v>Иные выплаты персоналу, за исключением фонда оплаты труда</v>
      </c>
      <c r="B845" s="233"/>
      <c r="C845" s="234"/>
      <c r="D845" s="235"/>
      <c r="E845" s="236">
        <v>122</v>
      </c>
      <c r="F845" s="221">
        <v>0</v>
      </c>
      <c r="G845" s="221"/>
    </row>
    <row r="846" spans="1:7">
      <c r="A846" s="226" t="s">
        <v>1099</v>
      </c>
      <c r="B846" s="246"/>
      <c r="C846" s="234"/>
      <c r="D846" s="246"/>
      <c r="E846" s="331"/>
      <c r="F846" s="222">
        <v>1782034002.78</v>
      </c>
      <c r="G846" s="222">
        <f>G9+G141+G185+G346+G452+G505+G636+G669+G834</f>
        <v>1600553551</v>
      </c>
    </row>
  </sheetData>
  <sheetProtection formatCells="0" insertColumns="0" insertRows="0" insertHyperlinks="0" deleteColumns="0" deleteRows="0" sort="0" autoFilter="0" pivotTables="0"/>
  <protectedRanges>
    <protectedRange password="EE71" sqref="G891 C847:C888 B847:B887 D847:D887 E846:E886 F847:G887" name="Диапазон1" securityDescriptor="O:WDG:WDD:(A;;CC;;;S-1-5-21-796845957-1547161642-725345543-1004)"/>
    <protectedRange sqref="G357 G331 G302 G252 G471:G472 G723 G813 G519 G318:G319 G829:G832 G189 G185 G406 G467 G778 G452 G810 G546 G544 G824 G449 G610 G618 G720 G717 G629 G24:G26 G28:G30 G32:G34 G39:G40 G42:G44 G46:G48 G50:G51 G53:G54 G56:G59 G65:G68 G70:G73 G76 G81:G83 G85:G87 G89:G91 G93:G94 G96:G99 G193 G409 G482" name="Диапазон1_14"/>
    <protectedRange sqref="G636" name="Диапазон1_14_1"/>
  </protectedRanges>
  <autoFilter ref="A8:G846"/>
  <dataConsolidate/>
  <customSheetViews>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5">
    <mergeCell ref="A4:G4"/>
    <mergeCell ref="A6:G6"/>
    <mergeCell ref="A1:G1"/>
    <mergeCell ref="A2:G2"/>
    <mergeCell ref="A3:G3"/>
  </mergeCells>
  <phoneticPr fontId="0" type="noConversion"/>
  <pageMargins left="0.78740157480314965" right="0.78740157480314965" top="0.59055118110236227" bottom="0.6692913385826772" header="0.19685039370078741" footer="0.19685039370078741"/>
  <pageSetup paperSize="9" scale="92" fitToHeight="100" orientation="portrait" r:id="rId7"/>
  <headerFooter alignWithMargins="0">
    <oddFooter>&amp;C&amp;P</oddFooter>
  </headerFooter>
  <rowBreaks count="1" manualBreakCount="1">
    <brk id="21" max="7" man="1"/>
  </rowBreaks>
</worksheet>
</file>

<file path=xl/worksheets/sheet6.xml><?xml version="1.0" encoding="utf-8"?>
<worksheet xmlns="http://schemas.openxmlformats.org/spreadsheetml/2006/main" xmlns:r="http://schemas.openxmlformats.org/officeDocument/2006/relationships">
  <sheetPr codeName="Лист25"/>
  <dimension ref="A1:B1167"/>
  <sheetViews>
    <sheetView view="pageBreakPreview" topLeftCell="A1126" workbookViewId="0">
      <selection activeCell="B1161" sqref="B1161"/>
    </sheetView>
  </sheetViews>
  <sheetFormatPr defaultRowHeight="12.75"/>
  <cols>
    <col min="1" max="1" width="6.5703125" style="41" customWidth="1"/>
    <col min="2" max="2" width="85.7109375" style="38" customWidth="1"/>
  </cols>
  <sheetData>
    <row r="1" spans="1:2" hidden="1">
      <c r="A1" s="41" t="s">
        <v>1096</v>
      </c>
      <c r="B1" s="38" t="s">
        <v>1097</v>
      </c>
    </row>
    <row r="2" spans="1:2" hidden="1">
      <c r="A2" s="42" t="s">
        <v>808</v>
      </c>
      <c r="B2" s="40" t="s">
        <v>223</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3">
        <v>0</v>
      </c>
      <c r="B1000" s="39" t="s">
        <v>256</v>
      </c>
    </row>
    <row r="1001" spans="1:2">
      <c r="A1001" s="43">
        <v>4</v>
      </c>
      <c r="B1001" s="39" t="s">
        <v>1093</v>
      </c>
    </row>
    <row r="1002" spans="1:2">
      <c r="A1002" s="43">
        <v>20</v>
      </c>
      <c r="B1002" s="39" t="s">
        <v>1521</v>
      </c>
    </row>
    <row r="1003" spans="1:2">
      <c r="A1003" s="43">
        <v>22</v>
      </c>
      <c r="B1003" s="39" t="s">
        <v>1522</v>
      </c>
    </row>
    <row r="1004" spans="1:2">
      <c r="A1004" s="43">
        <v>29</v>
      </c>
      <c r="B1004" s="39" t="s">
        <v>1523</v>
      </c>
    </row>
    <row r="1005" spans="1:2">
      <c r="A1005" s="43">
        <v>48</v>
      </c>
      <c r="B1005" s="39" t="s">
        <v>1094</v>
      </c>
    </row>
    <row r="1006" spans="1:2">
      <c r="A1006" s="43">
        <v>50</v>
      </c>
      <c r="B1006" s="39" t="s">
        <v>1187</v>
      </c>
    </row>
    <row r="1007" spans="1:2">
      <c r="A1007" s="43">
        <v>53</v>
      </c>
      <c r="B1007" s="39" t="s">
        <v>1095</v>
      </c>
    </row>
    <row r="1008" spans="1:2">
      <c r="A1008" s="43">
        <v>54</v>
      </c>
      <c r="B1008" s="39" t="s">
        <v>1188</v>
      </c>
    </row>
    <row r="1009" spans="1:2">
      <c r="A1009" s="43">
        <v>56</v>
      </c>
      <c r="B1009" s="39" t="s">
        <v>1189</v>
      </c>
    </row>
    <row r="1010" spans="1:2">
      <c r="A1010" s="43">
        <v>58</v>
      </c>
      <c r="B1010" s="39" t="s">
        <v>1530</v>
      </c>
    </row>
    <row r="1011" spans="1:2">
      <c r="A1011" s="43">
        <v>70</v>
      </c>
      <c r="B1011" s="39" t="s">
        <v>1531</v>
      </c>
    </row>
    <row r="1012" spans="1:2">
      <c r="A1012" s="43">
        <v>71</v>
      </c>
      <c r="B1012" s="39" t="s">
        <v>1033</v>
      </c>
    </row>
    <row r="1013" spans="1:2">
      <c r="A1013" s="43">
        <v>72</v>
      </c>
      <c r="B1013" s="39" t="s">
        <v>1798</v>
      </c>
    </row>
    <row r="1014" spans="1:2">
      <c r="A1014" s="43">
        <v>75</v>
      </c>
      <c r="B1014" s="39" t="s">
        <v>43</v>
      </c>
    </row>
    <row r="1015" spans="1:2">
      <c r="A1015" s="43">
        <v>76</v>
      </c>
      <c r="B1015" s="39" t="s">
        <v>1850</v>
      </c>
    </row>
    <row r="1016" spans="1:2">
      <c r="A1016" s="43">
        <v>78</v>
      </c>
      <c r="B1016" s="39" t="s">
        <v>1851</v>
      </c>
    </row>
    <row r="1017" spans="1:2">
      <c r="A1017" s="43">
        <v>81</v>
      </c>
      <c r="B1017" s="39" t="s">
        <v>1799</v>
      </c>
    </row>
    <row r="1018" spans="1:2">
      <c r="A1018" s="43">
        <v>82</v>
      </c>
      <c r="B1018" s="39" t="s">
        <v>255</v>
      </c>
    </row>
    <row r="1019" spans="1:2">
      <c r="A1019" s="43">
        <v>83</v>
      </c>
      <c r="B1019" s="39" t="s">
        <v>519</v>
      </c>
    </row>
    <row r="1020" spans="1:2">
      <c r="A1020" s="43">
        <v>85</v>
      </c>
      <c r="B1020" s="39" t="s">
        <v>639</v>
      </c>
    </row>
    <row r="1021" spans="1:2">
      <c r="A1021" s="43">
        <v>89</v>
      </c>
      <c r="B1021" s="39" t="s">
        <v>202</v>
      </c>
    </row>
    <row r="1022" spans="1:2">
      <c r="A1022" s="43">
        <v>92</v>
      </c>
      <c r="B1022" s="39" t="s">
        <v>44</v>
      </c>
    </row>
    <row r="1023" spans="1:2">
      <c r="A1023" s="43">
        <v>99</v>
      </c>
      <c r="B1023" s="39" t="s">
        <v>1261</v>
      </c>
    </row>
    <row r="1024" spans="1:2">
      <c r="A1024" s="43">
        <v>104</v>
      </c>
      <c r="B1024" s="39" t="s">
        <v>121</v>
      </c>
    </row>
    <row r="1025" spans="1:2">
      <c r="A1025" s="43">
        <v>125</v>
      </c>
      <c r="B1025" s="39" t="s">
        <v>476</v>
      </c>
    </row>
    <row r="1026" spans="1:2">
      <c r="A1026" s="43">
        <v>126</v>
      </c>
      <c r="B1026" s="39" t="s">
        <v>805</v>
      </c>
    </row>
    <row r="1027" spans="1:2">
      <c r="A1027" s="43">
        <v>128</v>
      </c>
      <c r="B1027" s="39" t="s">
        <v>806</v>
      </c>
    </row>
    <row r="1028" spans="1:2">
      <c r="A1028" s="43">
        <v>129</v>
      </c>
      <c r="B1028" s="39" t="s">
        <v>918</v>
      </c>
    </row>
    <row r="1029" spans="1:2" ht="25.5">
      <c r="A1029" s="43">
        <v>133</v>
      </c>
      <c r="B1029" s="39" t="s">
        <v>372</v>
      </c>
    </row>
    <row r="1030" spans="1:2" ht="25.5">
      <c r="A1030" s="43">
        <v>134</v>
      </c>
      <c r="B1030" s="39" t="s">
        <v>771</v>
      </c>
    </row>
    <row r="1031" spans="1:2">
      <c r="A1031" s="43">
        <v>136</v>
      </c>
      <c r="B1031" s="39" t="s">
        <v>640</v>
      </c>
    </row>
    <row r="1032" spans="1:2">
      <c r="A1032" s="43">
        <v>139</v>
      </c>
      <c r="B1032" s="39" t="s">
        <v>641</v>
      </c>
    </row>
    <row r="1033" spans="1:2">
      <c r="A1033" s="43">
        <v>140</v>
      </c>
      <c r="B1033" s="39" t="s">
        <v>213</v>
      </c>
    </row>
    <row r="1034" spans="1:2">
      <c r="A1034" s="43">
        <v>141</v>
      </c>
      <c r="B1034" s="39" t="s">
        <v>214</v>
      </c>
    </row>
    <row r="1035" spans="1:2">
      <c r="A1035" s="43">
        <v>142</v>
      </c>
      <c r="B1035" s="39" t="s">
        <v>833</v>
      </c>
    </row>
    <row r="1036" spans="1:2">
      <c r="A1036" s="43">
        <v>148</v>
      </c>
      <c r="B1036" s="39" t="s">
        <v>434</v>
      </c>
    </row>
    <row r="1037" spans="1:2">
      <c r="A1037" s="43">
        <v>149</v>
      </c>
      <c r="B1037" s="39" t="s">
        <v>435</v>
      </c>
    </row>
    <row r="1038" spans="1:2">
      <c r="A1038" s="43">
        <v>152</v>
      </c>
      <c r="B1038" s="39" t="s">
        <v>1202</v>
      </c>
    </row>
    <row r="1039" spans="1:2">
      <c r="A1039" s="43">
        <v>153</v>
      </c>
      <c r="B1039" s="39" t="s">
        <v>438</v>
      </c>
    </row>
    <row r="1040" spans="1:2">
      <c r="A1040" s="43">
        <v>154</v>
      </c>
      <c r="B1040" s="39" t="s">
        <v>1543</v>
      </c>
    </row>
    <row r="1041" spans="1:2">
      <c r="A1041" s="43">
        <v>156</v>
      </c>
      <c r="B1041" s="39" t="s">
        <v>1596</v>
      </c>
    </row>
    <row r="1042" spans="1:2">
      <c r="A1042" s="43">
        <v>157</v>
      </c>
      <c r="B1042" s="39" t="s">
        <v>1089</v>
      </c>
    </row>
    <row r="1043" spans="1:2">
      <c r="A1043" s="43">
        <v>158</v>
      </c>
      <c r="B1043" s="39" t="s">
        <v>522</v>
      </c>
    </row>
    <row r="1044" spans="1:2">
      <c r="A1044" s="43">
        <v>159</v>
      </c>
      <c r="B1044" s="39" t="s">
        <v>132</v>
      </c>
    </row>
    <row r="1045" spans="1:2">
      <c r="A1045" s="43">
        <v>160</v>
      </c>
      <c r="B1045" s="39" t="s">
        <v>1150</v>
      </c>
    </row>
    <row r="1046" spans="1:2">
      <c r="A1046" s="43">
        <v>162</v>
      </c>
      <c r="B1046" s="39" t="s">
        <v>1152</v>
      </c>
    </row>
    <row r="1047" spans="1:2">
      <c r="A1047" s="43">
        <v>163</v>
      </c>
      <c r="B1047" s="39" t="s">
        <v>1462</v>
      </c>
    </row>
    <row r="1048" spans="1:2">
      <c r="A1048" s="43">
        <v>164</v>
      </c>
      <c r="B1048" s="39" t="s">
        <v>781</v>
      </c>
    </row>
    <row r="1049" spans="1:2">
      <c r="A1049" s="43">
        <v>165</v>
      </c>
      <c r="B1049" s="39" t="s">
        <v>316</v>
      </c>
    </row>
    <row r="1050" spans="1:2" ht="25.5">
      <c r="A1050" s="43">
        <v>166</v>
      </c>
      <c r="B1050" s="39" t="s">
        <v>83</v>
      </c>
    </row>
    <row r="1051" spans="1:2" ht="25.5">
      <c r="A1051" s="43">
        <v>177</v>
      </c>
      <c r="B1051" s="39" t="s">
        <v>620</v>
      </c>
    </row>
    <row r="1052" spans="1:2">
      <c r="A1052" s="43">
        <v>181</v>
      </c>
      <c r="B1052" s="39" t="s">
        <v>621</v>
      </c>
    </row>
    <row r="1053" spans="1:2">
      <c r="A1053" s="43">
        <v>182</v>
      </c>
      <c r="B1053" s="39" t="s">
        <v>622</v>
      </c>
    </row>
    <row r="1054" spans="1:2">
      <c r="A1054" s="43">
        <v>184</v>
      </c>
      <c r="B1054" s="39" t="s">
        <v>1155</v>
      </c>
    </row>
    <row r="1055" spans="1:2">
      <c r="A1055" s="43">
        <v>186</v>
      </c>
      <c r="B1055" s="39" t="s">
        <v>1595</v>
      </c>
    </row>
    <row r="1056" spans="1:2">
      <c r="A1056" s="43">
        <v>187</v>
      </c>
      <c r="B1056" s="39" t="s">
        <v>823</v>
      </c>
    </row>
    <row r="1057" spans="1:2">
      <c r="A1057" s="43">
        <v>188</v>
      </c>
      <c r="B1057" s="39" t="s">
        <v>1041</v>
      </c>
    </row>
    <row r="1058" spans="1:2">
      <c r="A1058" s="43">
        <v>189</v>
      </c>
      <c r="B1058" s="39" t="s">
        <v>1042</v>
      </c>
    </row>
    <row r="1059" spans="1:2">
      <c r="A1059" s="43">
        <v>190</v>
      </c>
      <c r="B1059" s="39" t="s">
        <v>87</v>
      </c>
    </row>
    <row r="1060" spans="1:2">
      <c r="A1060" s="43">
        <v>192</v>
      </c>
      <c r="B1060" s="39" t="s">
        <v>88</v>
      </c>
    </row>
    <row r="1061" spans="1:2">
      <c r="A1061" s="43">
        <v>197</v>
      </c>
      <c r="B1061" s="39" t="s">
        <v>1533</v>
      </c>
    </row>
    <row r="1062" spans="1:2">
      <c r="A1062" s="43">
        <v>202</v>
      </c>
      <c r="B1062" s="39" t="s">
        <v>1534</v>
      </c>
    </row>
    <row r="1063" spans="1:2" ht="25.5">
      <c r="A1063" s="43">
        <v>206</v>
      </c>
      <c r="B1063" s="39" t="s">
        <v>1535</v>
      </c>
    </row>
    <row r="1064" spans="1:2">
      <c r="A1064" s="43">
        <v>207</v>
      </c>
      <c r="B1064" s="39" t="s">
        <v>567</v>
      </c>
    </row>
    <row r="1065" spans="1:2">
      <c r="A1065" s="43">
        <v>226</v>
      </c>
      <c r="B1065" s="39" t="s">
        <v>1207</v>
      </c>
    </row>
    <row r="1066" spans="1:2">
      <c r="A1066" s="43">
        <v>258</v>
      </c>
      <c r="B1066" s="39" t="s">
        <v>277</v>
      </c>
    </row>
    <row r="1067" spans="1:2">
      <c r="A1067" s="43">
        <v>262</v>
      </c>
      <c r="B1067" s="39" t="s">
        <v>399</v>
      </c>
    </row>
    <row r="1068" spans="1:2">
      <c r="A1068" s="43">
        <v>263</v>
      </c>
      <c r="B1068" s="39" t="s">
        <v>436</v>
      </c>
    </row>
    <row r="1069" spans="1:2">
      <c r="A1069" s="43">
        <v>279</v>
      </c>
      <c r="B1069" s="39" t="s">
        <v>1064</v>
      </c>
    </row>
    <row r="1070" spans="1:2">
      <c r="A1070" s="43">
        <v>302</v>
      </c>
      <c r="B1070" s="39" t="s">
        <v>1065</v>
      </c>
    </row>
    <row r="1071" spans="1:2">
      <c r="A1071" s="43">
        <v>303</v>
      </c>
      <c r="B1071" s="39" t="s">
        <v>360</v>
      </c>
    </row>
    <row r="1072" spans="1:2">
      <c r="A1072" s="43">
        <v>304</v>
      </c>
      <c r="B1072" s="39" t="s">
        <v>571</v>
      </c>
    </row>
    <row r="1073" spans="1:2">
      <c r="A1073" s="43">
        <v>305</v>
      </c>
      <c r="B1073" s="39" t="s">
        <v>815</v>
      </c>
    </row>
    <row r="1074" spans="1:2">
      <c r="A1074" s="43">
        <v>306</v>
      </c>
      <c r="B1074" s="39" t="s">
        <v>173</v>
      </c>
    </row>
    <row r="1075" spans="1:2">
      <c r="A1075" s="43">
        <v>308</v>
      </c>
      <c r="B1075" s="39" t="s">
        <v>174</v>
      </c>
    </row>
    <row r="1076" spans="1:2">
      <c r="A1076" s="43">
        <v>310</v>
      </c>
      <c r="B1076" s="39" t="s">
        <v>512</v>
      </c>
    </row>
    <row r="1077" spans="1:2">
      <c r="A1077" s="43">
        <v>316</v>
      </c>
      <c r="B1077" s="39" t="s">
        <v>1592</v>
      </c>
    </row>
    <row r="1078" spans="1:2">
      <c r="A1078" s="43">
        <v>318</v>
      </c>
      <c r="B1078" s="39" t="s">
        <v>926</v>
      </c>
    </row>
    <row r="1079" spans="1:2">
      <c r="A1079" s="43">
        <v>319</v>
      </c>
      <c r="B1079" s="39" t="s">
        <v>151</v>
      </c>
    </row>
    <row r="1080" spans="1:2">
      <c r="A1080" s="43">
        <v>320</v>
      </c>
      <c r="B1080" s="39" t="s">
        <v>152</v>
      </c>
    </row>
    <row r="1081" spans="1:2">
      <c r="A1081" s="43">
        <v>321</v>
      </c>
      <c r="B1081" s="39" t="s">
        <v>447</v>
      </c>
    </row>
    <row r="1082" spans="1:2">
      <c r="A1082" s="43">
        <v>322</v>
      </c>
      <c r="B1082" s="39" t="s">
        <v>1540</v>
      </c>
    </row>
    <row r="1083" spans="1:2">
      <c r="A1083" s="43">
        <v>330</v>
      </c>
      <c r="B1083" s="39" t="s">
        <v>630</v>
      </c>
    </row>
    <row r="1084" spans="1:2">
      <c r="A1084" s="43">
        <v>333</v>
      </c>
      <c r="B1084" s="39" t="s">
        <v>966</v>
      </c>
    </row>
    <row r="1085" spans="1:2">
      <c r="A1085" s="43">
        <v>352</v>
      </c>
      <c r="B1085" s="39" t="s">
        <v>967</v>
      </c>
    </row>
    <row r="1086" spans="1:2">
      <c r="A1086" s="43">
        <v>386</v>
      </c>
      <c r="B1086" s="39" t="s">
        <v>968</v>
      </c>
    </row>
    <row r="1087" spans="1:2" ht="25.5">
      <c r="A1087" s="43">
        <v>387</v>
      </c>
      <c r="B1087" s="39" t="s">
        <v>581</v>
      </c>
    </row>
    <row r="1088" spans="1:2">
      <c r="A1088" s="43">
        <v>392</v>
      </c>
      <c r="B1088" s="39" t="s">
        <v>582</v>
      </c>
    </row>
    <row r="1089" spans="1:2">
      <c r="A1089" s="43">
        <v>393</v>
      </c>
      <c r="B1089" s="39" t="s">
        <v>1744</v>
      </c>
    </row>
    <row r="1090" spans="1:2">
      <c r="A1090" s="43">
        <v>397</v>
      </c>
      <c r="B1090" s="39" t="s">
        <v>453</v>
      </c>
    </row>
    <row r="1091" spans="1:2">
      <c r="A1091" s="43">
        <v>401</v>
      </c>
      <c r="B1091" s="39" t="s">
        <v>455</v>
      </c>
    </row>
    <row r="1092" spans="1:2">
      <c r="A1092" s="43">
        <v>409</v>
      </c>
      <c r="B1092" s="39" t="s">
        <v>129</v>
      </c>
    </row>
    <row r="1093" spans="1:2">
      <c r="A1093" s="43">
        <v>415</v>
      </c>
      <c r="B1093" s="39" t="s">
        <v>130</v>
      </c>
    </row>
    <row r="1094" spans="1:2">
      <c r="A1094" s="43">
        <v>423</v>
      </c>
      <c r="B1094" s="39" t="s">
        <v>1068</v>
      </c>
    </row>
    <row r="1095" spans="1:2">
      <c r="A1095" s="43">
        <v>424</v>
      </c>
      <c r="B1095" s="39" t="s">
        <v>196</v>
      </c>
    </row>
    <row r="1096" spans="1:2">
      <c r="A1096" s="43">
        <v>425</v>
      </c>
      <c r="B1096" s="39" t="s">
        <v>1359</v>
      </c>
    </row>
    <row r="1097" spans="1:2">
      <c r="A1097" s="43">
        <v>434</v>
      </c>
      <c r="B1097" s="39" t="s">
        <v>440</v>
      </c>
    </row>
    <row r="1098" spans="1:2">
      <c r="A1098" s="43">
        <v>436</v>
      </c>
      <c r="B1098" s="39" t="s">
        <v>441</v>
      </c>
    </row>
    <row r="1099" spans="1:2">
      <c r="A1099" s="43">
        <v>437</v>
      </c>
      <c r="B1099" s="39" t="s">
        <v>1544</v>
      </c>
    </row>
    <row r="1100" spans="1:2">
      <c r="A1100" s="43">
        <v>438</v>
      </c>
      <c r="B1100" s="39" t="s">
        <v>1725</v>
      </c>
    </row>
    <row r="1101" spans="1:2">
      <c r="A1101" s="43">
        <v>464</v>
      </c>
      <c r="B1101" s="39" t="s">
        <v>1451</v>
      </c>
    </row>
    <row r="1102" spans="1:2">
      <c r="A1102" s="43">
        <v>486</v>
      </c>
      <c r="B1102" s="39" t="s">
        <v>1545</v>
      </c>
    </row>
    <row r="1103" spans="1:2">
      <c r="A1103" s="43">
        <v>494</v>
      </c>
      <c r="B1103" s="39" t="s">
        <v>834</v>
      </c>
    </row>
    <row r="1104" spans="1:2">
      <c r="A1104" s="43">
        <v>497</v>
      </c>
      <c r="B1104" s="39" t="s">
        <v>560</v>
      </c>
    </row>
    <row r="1105" spans="1:2">
      <c r="A1105" s="43">
        <v>498</v>
      </c>
      <c r="B1105" s="39" t="s">
        <v>561</v>
      </c>
    </row>
    <row r="1106" spans="1:2">
      <c r="A1106" s="43">
        <v>520</v>
      </c>
      <c r="B1106" s="39" t="s">
        <v>1182</v>
      </c>
    </row>
    <row r="1107" spans="1:2">
      <c r="A1107" s="43">
        <v>573</v>
      </c>
      <c r="B1107" s="39" t="s">
        <v>556</v>
      </c>
    </row>
    <row r="1108" spans="1:2">
      <c r="A1108" s="43">
        <v>588</v>
      </c>
      <c r="B1108" s="39" t="s">
        <v>1256</v>
      </c>
    </row>
    <row r="1109" spans="1:2">
      <c r="A1109" s="43">
        <v>589</v>
      </c>
      <c r="B1109" s="39" t="s">
        <v>1513</v>
      </c>
    </row>
    <row r="1110" spans="1:2">
      <c r="A1110" s="43">
        <v>591</v>
      </c>
      <c r="B1110" s="39" t="s">
        <v>1514</v>
      </c>
    </row>
    <row r="1111" spans="1:2">
      <c r="A1111" s="43">
        <v>597</v>
      </c>
      <c r="B1111" s="39" t="s">
        <v>718</v>
      </c>
    </row>
    <row r="1112" spans="1:2">
      <c r="A1112" s="43">
        <v>653</v>
      </c>
      <c r="B1112" s="39" t="s">
        <v>719</v>
      </c>
    </row>
    <row r="1113" spans="1:2">
      <c r="A1113" s="43">
        <v>665</v>
      </c>
      <c r="B1113" s="39" t="s">
        <v>720</v>
      </c>
    </row>
    <row r="1114" spans="1:2">
      <c r="A1114" s="43">
        <v>677</v>
      </c>
      <c r="B1114" s="39" t="s">
        <v>552</v>
      </c>
    </row>
    <row r="1115" spans="1:2">
      <c r="A1115" s="43">
        <v>693</v>
      </c>
      <c r="B1115" s="39" t="s">
        <v>553</v>
      </c>
    </row>
    <row r="1116" spans="1:2">
      <c r="A1116" s="43">
        <v>720</v>
      </c>
      <c r="B1116" s="39" t="s">
        <v>337</v>
      </c>
    </row>
    <row r="1117" spans="1:2">
      <c r="A1117" s="43">
        <v>721</v>
      </c>
      <c r="B1117" s="39" t="s">
        <v>1356</v>
      </c>
    </row>
    <row r="1118" spans="1:2" ht="25.5">
      <c r="A1118" s="43">
        <v>722</v>
      </c>
      <c r="B1118" s="39" t="s">
        <v>1357</v>
      </c>
    </row>
    <row r="1119" spans="1:2">
      <c r="A1119" s="43">
        <v>801</v>
      </c>
      <c r="B1119" s="39" t="s">
        <v>731</v>
      </c>
    </row>
    <row r="1120" spans="1:2">
      <c r="A1120" s="43">
        <v>804</v>
      </c>
      <c r="B1120" s="39" t="s">
        <v>732</v>
      </c>
    </row>
    <row r="1121" spans="1:2" ht="25.5">
      <c r="A1121" s="43">
        <v>807</v>
      </c>
      <c r="B1121" s="39" t="s">
        <v>12</v>
      </c>
    </row>
    <row r="1122" spans="1:2">
      <c r="A1122" s="43">
        <v>812</v>
      </c>
      <c r="B1122" s="39" t="s">
        <v>397</v>
      </c>
    </row>
    <row r="1123" spans="1:2">
      <c r="A1123" s="43">
        <v>905</v>
      </c>
      <c r="B1123" s="39" t="s">
        <v>183</v>
      </c>
    </row>
    <row r="1124" spans="1:2">
      <c r="A1124" s="43">
        <v>906</v>
      </c>
      <c r="B1124" s="39" t="s">
        <v>189</v>
      </c>
    </row>
    <row r="1125" spans="1:2">
      <c r="A1125" s="43">
        <v>914</v>
      </c>
      <c r="B1125" s="39" t="s">
        <v>190</v>
      </c>
    </row>
    <row r="1126" spans="1:2">
      <c r="A1126" s="43">
        <v>932</v>
      </c>
      <c r="B1126" s="39" t="s">
        <v>191</v>
      </c>
    </row>
    <row r="1127" spans="1:2">
      <c r="A1127" s="43">
        <v>950</v>
      </c>
      <c r="B1127" s="39" t="s">
        <v>793</v>
      </c>
    </row>
    <row r="1128" spans="1:2">
      <c r="A1128" s="43">
        <v>951</v>
      </c>
      <c r="B1128" s="39" t="s">
        <v>475</v>
      </c>
    </row>
    <row r="1129" spans="1:2">
      <c r="A1129" s="43">
        <v>952</v>
      </c>
      <c r="B1129" s="39" t="s">
        <v>1017</v>
      </c>
    </row>
    <row r="1130" spans="1:2">
      <c r="A1130" s="43">
        <v>953</v>
      </c>
      <c r="B1130" s="39" t="s">
        <v>1018</v>
      </c>
    </row>
    <row r="1131" spans="1:2">
      <c r="A1131" s="43">
        <v>954</v>
      </c>
      <c r="B1131" s="39" t="s">
        <v>798</v>
      </c>
    </row>
    <row r="1132" spans="1:2">
      <c r="A1132" s="43">
        <v>955</v>
      </c>
      <c r="B1132" s="39" t="s">
        <v>1613</v>
      </c>
    </row>
    <row r="1133" spans="1:2">
      <c r="A1133" s="43">
        <v>956</v>
      </c>
      <c r="B1133" s="39" t="s">
        <v>799</v>
      </c>
    </row>
    <row r="1134" spans="1:2">
      <c r="A1134" s="43">
        <v>957</v>
      </c>
      <c r="B1134" s="39" t="s">
        <v>800</v>
      </c>
    </row>
    <row r="1135" spans="1:2">
      <c r="A1135" s="43">
        <v>958</v>
      </c>
      <c r="B1135" s="39" t="s">
        <v>801</v>
      </c>
    </row>
    <row r="1136" spans="1:2">
      <c r="A1136" s="43">
        <v>959</v>
      </c>
      <c r="B1136" s="39" t="s">
        <v>1338</v>
      </c>
    </row>
    <row r="1137" spans="1:2">
      <c r="A1137" s="43">
        <v>960</v>
      </c>
      <c r="B1137" s="39" t="s">
        <v>439</v>
      </c>
    </row>
    <row r="1138" spans="1:2">
      <c r="A1138" s="43">
        <v>961</v>
      </c>
      <c r="B1138" s="39" t="s">
        <v>575</v>
      </c>
    </row>
    <row r="1139" spans="1:2">
      <c r="A1139" s="43">
        <v>962</v>
      </c>
      <c r="B1139" s="39" t="s">
        <v>1349</v>
      </c>
    </row>
    <row r="1140" spans="1:2">
      <c r="A1140" s="43">
        <v>963</v>
      </c>
      <c r="B1140" s="39" t="s">
        <v>400</v>
      </c>
    </row>
    <row r="1141" spans="1:2">
      <c r="A1141" s="43">
        <v>964</v>
      </c>
      <c r="B1141" s="39" t="s">
        <v>1594</v>
      </c>
    </row>
    <row r="1142" spans="1:2">
      <c r="A1142" s="43">
        <v>965</v>
      </c>
      <c r="B1142" s="39" t="s">
        <v>418</v>
      </c>
    </row>
    <row r="1143" spans="1:2">
      <c r="A1143" s="43">
        <v>966</v>
      </c>
      <c r="B1143" s="39" t="s">
        <v>521</v>
      </c>
    </row>
    <row r="1144" spans="1:2">
      <c r="A1144" s="43">
        <v>967</v>
      </c>
      <c r="B1144" s="39" t="s">
        <v>311</v>
      </c>
    </row>
    <row r="1145" spans="1:2">
      <c r="A1145" s="43">
        <v>968</v>
      </c>
      <c r="B1145" s="39" t="s">
        <v>504</v>
      </c>
    </row>
    <row r="1146" spans="1:2">
      <c r="A1146" s="43">
        <v>969</v>
      </c>
      <c r="B1146" s="39" t="s">
        <v>298</v>
      </c>
    </row>
    <row r="1147" spans="1:2">
      <c r="A1147" s="43">
        <v>970</v>
      </c>
      <c r="B1147" s="39" t="s">
        <v>287</v>
      </c>
    </row>
    <row r="1148" spans="1:2">
      <c r="A1148" s="43">
        <v>971</v>
      </c>
      <c r="B1148" s="39" t="s">
        <v>1750</v>
      </c>
    </row>
    <row r="1149" spans="1:2">
      <c r="A1149" s="43">
        <v>972</v>
      </c>
      <c r="B1149" s="39" t="s">
        <v>224</v>
      </c>
    </row>
    <row r="1150" spans="1:2">
      <c r="A1150" s="43">
        <v>973</v>
      </c>
      <c r="B1150" s="39" t="s">
        <v>1623</v>
      </c>
    </row>
    <row r="1151" spans="1:2">
      <c r="A1151" s="43">
        <v>974</v>
      </c>
      <c r="B1151" s="39" t="s">
        <v>1512</v>
      </c>
    </row>
    <row r="1152" spans="1:2">
      <c r="A1152" s="43">
        <v>975</v>
      </c>
      <c r="B1152" s="39" t="s">
        <v>412</v>
      </c>
    </row>
    <row r="1153" spans="1:2">
      <c r="A1153" s="43">
        <v>976</v>
      </c>
      <c r="B1153" s="39" t="s">
        <v>554</v>
      </c>
    </row>
    <row r="1154" spans="1:2">
      <c r="A1154" s="43">
        <v>977</v>
      </c>
      <c r="B1154" s="39" t="s">
        <v>1479</v>
      </c>
    </row>
    <row r="1155" spans="1:2">
      <c r="A1155" s="43">
        <v>978</v>
      </c>
      <c r="B1155" s="39" t="s">
        <v>1454</v>
      </c>
    </row>
    <row r="1156" spans="1:2">
      <c r="A1156" s="43">
        <v>979</v>
      </c>
      <c r="B1156" s="39" t="s">
        <v>1624</v>
      </c>
    </row>
    <row r="1157" spans="1:2">
      <c r="A1157" s="43">
        <v>980</v>
      </c>
      <c r="B1157" s="39" t="s">
        <v>1199</v>
      </c>
    </row>
    <row r="1158" spans="1:2">
      <c r="A1158" s="43">
        <v>981</v>
      </c>
      <c r="B1158" s="39" t="s">
        <v>1625</v>
      </c>
    </row>
    <row r="1159" spans="1:2">
      <c r="A1159" s="43">
        <v>982</v>
      </c>
      <c r="B1159" s="39" t="s">
        <v>1455</v>
      </c>
    </row>
    <row r="1160" spans="1:2">
      <c r="A1160" s="43">
        <v>983</v>
      </c>
      <c r="B1160" s="39" t="s">
        <v>313</v>
      </c>
    </row>
    <row r="1161" spans="1:2">
      <c r="A1161" s="43">
        <v>984</v>
      </c>
      <c r="B1161" s="39" t="s">
        <v>446</v>
      </c>
    </row>
    <row r="1162" spans="1:2">
      <c r="A1162" s="43">
        <v>985</v>
      </c>
      <c r="B1162" s="39" t="s">
        <v>415</v>
      </c>
    </row>
    <row r="1163" spans="1:2">
      <c r="A1163" s="43">
        <v>986</v>
      </c>
      <c r="B1163" s="39" t="s">
        <v>312</v>
      </c>
    </row>
    <row r="1164" spans="1:2">
      <c r="A1164" s="43">
        <v>987</v>
      </c>
      <c r="B1164" s="39" t="s">
        <v>1524</v>
      </c>
    </row>
    <row r="1165" spans="1:2">
      <c r="A1165" s="43">
        <v>988</v>
      </c>
      <c r="B1165" s="39" t="s">
        <v>1601</v>
      </c>
    </row>
    <row r="1166" spans="1:2">
      <c r="A1166" s="43">
        <v>989</v>
      </c>
      <c r="B1166" s="39" t="s">
        <v>1752</v>
      </c>
    </row>
    <row r="1167" spans="1:2">
      <c r="A1167" s="41">
        <v>995</v>
      </c>
      <c r="B1167" s="38" t="s">
        <v>312</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sheetPr codeName="Лист26">
    <pageSetUpPr fitToPage="1"/>
  </sheetPr>
  <dimension ref="A1:C1513"/>
  <sheetViews>
    <sheetView showGridLines="0" topLeftCell="A1400" zoomScaleSheetLayoutView="100" workbookViewId="0">
      <selection activeCell="B1413" sqref="B1413"/>
    </sheetView>
  </sheetViews>
  <sheetFormatPr defaultColWidth="31.85546875" defaultRowHeight="12.75"/>
  <cols>
    <col min="1" max="1" width="7" style="47" bestFit="1" customWidth="1"/>
    <col min="2" max="2" width="106.140625" style="46" customWidth="1"/>
    <col min="3" max="16384" width="31.85546875" style="45"/>
  </cols>
  <sheetData>
    <row r="1" spans="1:2" s="49" customFormat="1" hidden="1">
      <c r="A1" s="47"/>
      <c r="B1" s="48"/>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45"/>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50">
        <v>100</v>
      </c>
      <c r="B1400" s="51" t="s">
        <v>430</v>
      </c>
      <c r="C1400" s="46"/>
    </row>
    <row r="1401" spans="1:3">
      <c r="A1401" s="52">
        <v>101</v>
      </c>
      <c r="B1401" s="53" t="s">
        <v>768</v>
      </c>
      <c r="C1401" s="46"/>
    </row>
    <row r="1402" spans="1:3">
      <c r="A1402" s="52">
        <v>102</v>
      </c>
      <c r="B1402" s="54" t="s">
        <v>738</v>
      </c>
      <c r="C1402" s="46"/>
    </row>
    <row r="1403" spans="1:3" ht="25.5">
      <c r="A1403" s="52">
        <v>103</v>
      </c>
      <c r="B1403" s="54" t="s">
        <v>649</v>
      </c>
      <c r="C1403" s="46"/>
    </row>
    <row r="1404" spans="1:3" ht="25.5">
      <c r="A1404" s="52">
        <v>104</v>
      </c>
      <c r="B1404" s="54" t="s">
        <v>334</v>
      </c>
      <c r="C1404" s="46"/>
    </row>
    <row r="1405" spans="1:3">
      <c r="A1405" s="52">
        <v>105</v>
      </c>
      <c r="B1405" s="54" t="s">
        <v>1149</v>
      </c>
      <c r="C1405" s="46"/>
    </row>
    <row r="1406" spans="1:3" ht="25.5">
      <c r="A1406" s="52">
        <v>106</v>
      </c>
      <c r="B1406" s="54" t="s">
        <v>40</v>
      </c>
      <c r="C1406" s="46"/>
    </row>
    <row r="1407" spans="1:3">
      <c r="A1407" s="52">
        <v>107</v>
      </c>
      <c r="B1407" s="54" t="s">
        <v>50</v>
      </c>
      <c r="C1407" s="46"/>
    </row>
    <row r="1408" spans="1:3">
      <c r="A1408" s="52">
        <v>108</v>
      </c>
      <c r="B1408" s="54" t="s">
        <v>1463</v>
      </c>
      <c r="C1408" s="46"/>
    </row>
    <row r="1409" spans="1:3">
      <c r="A1409" s="52">
        <v>109</v>
      </c>
      <c r="B1409" s="54" t="s">
        <v>829</v>
      </c>
      <c r="C1409" s="46"/>
    </row>
    <row r="1410" spans="1:3">
      <c r="A1410" s="52">
        <v>110</v>
      </c>
      <c r="B1410" s="54" t="s">
        <v>830</v>
      </c>
      <c r="C1410" s="46"/>
    </row>
    <row r="1411" spans="1:3">
      <c r="A1411" s="52">
        <v>111</v>
      </c>
      <c r="B1411" s="54" t="s">
        <v>825</v>
      </c>
      <c r="C1411" s="46"/>
    </row>
    <row r="1412" spans="1:3">
      <c r="A1412" s="52">
        <v>112</v>
      </c>
      <c r="B1412" s="54" t="s">
        <v>1453</v>
      </c>
      <c r="C1412" s="46"/>
    </row>
    <row r="1413" spans="1:3">
      <c r="A1413" s="52">
        <v>113</v>
      </c>
      <c r="B1413" s="54" t="s">
        <v>826</v>
      </c>
      <c r="C1413" s="46"/>
    </row>
    <row r="1414" spans="1:3">
      <c r="A1414" s="50">
        <v>200</v>
      </c>
      <c r="B1414" s="55" t="s">
        <v>41</v>
      </c>
      <c r="C1414" s="46"/>
    </row>
    <row r="1415" spans="1:3">
      <c r="A1415" s="52">
        <v>201</v>
      </c>
      <c r="B1415" s="54" t="s">
        <v>1072</v>
      </c>
      <c r="C1415" s="46"/>
    </row>
    <row r="1416" spans="1:3">
      <c r="A1416" s="52">
        <v>202</v>
      </c>
      <c r="B1416" s="54" t="s">
        <v>703</v>
      </c>
      <c r="C1416" s="46"/>
    </row>
    <row r="1417" spans="1:3">
      <c r="A1417" s="52">
        <v>203</v>
      </c>
      <c r="B1417" s="54" t="s">
        <v>127</v>
      </c>
      <c r="C1417" s="46"/>
    </row>
    <row r="1418" spans="1:3">
      <c r="A1418" s="52">
        <v>204</v>
      </c>
      <c r="B1418" s="54" t="s">
        <v>228</v>
      </c>
      <c r="C1418" s="46"/>
    </row>
    <row r="1419" spans="1:3">
      <c r="A1419" s="52">
        <v>205</v>
      </c>
      <c r="B1419" s="54" t="s">
        <v>787</v>
      </c>
      <c r="C1419" s="46"/>
    </row>
    <row r="1420" spans="1:3">
      <c r="A1420" s="52">
        <v>206</v>
      </c>
      <c r="B1420" s="54" t="s">
        <v>1358</v>
      </c>
      <c r="C1420" s="46"/>
    </row>
    <row r="1421" spans="1:3">
      <c r="A1421" s="52">
        <v>207</v>
      </c>
      <c r="B1421" s="54" t="s">
        <v>910</v>
      </c>
      <c r="C1421" s="46"/>
    </row>
    <row r="1422" spans="1:3">
      <c r="A1422" s="52">
        <v>208</v>
      </c>
      <c r="B1422" s="54" t="s">
        <v>326</v>
      </c>
      <c r="C1422" s="46"/>
    </row>
    <row r="1423" spans="1:3">
      <c r="A1423" s="52">
        <v>209</v>
      </c>
      <c r="B1423" s="54" t="s">
        <v>327</v>
      </c>
      <c r="C1423" s="46"/>
    </row>
    <row r="1424" spans="1:3">
      <c r="A1424" s="50">
        <v>300</v>
      </c>
      <c r="B1424" s="55" t="s">
        <v>1</v>
      </c>
      <c r="C1424" s="46"/>
    </row>
    <row r="1425" spans="1:3">
      <c r="A1425" s="52">
        <v>301</v>
      </c>
      <c r="B1425" s="54" t="s">
        <v>328</v>
      </c>
      <c r="C1425" s="46"/>
    </row>
    <row r="1426" spans="1:3">
      <c r="A1426" s="52">
        <v>302</v>
      </c>
      <c r="B1426" s="54" t="s">
        <v>1098</v>
      </c>
      <c r="C1426" s="46"/>
    </row>
    <row r="1427" spans="1:3">
      <c r="A1427" s="52">
        <v>303</v>
      </c>
      <c r="B1427" s="54" t="s">
        <v>329</v>
      </c>
      <c r="C1427" s="46"/>
    </row>
    <row r="1428" spans="1:3">
      <c r="A1428" s="52">
        <v>304</v>
      </c>
      <c r="B1428" s="54" t="s">
        <v>131</v>
      </c>
      <c r="C1428" s="46"/>
    </row>
    <row r="1429" spans="1:3">
      <c r="A1429" s="52">
        <v>305</v>
      </c>
      <c r="B1429" s="54" t="s">
        <v>1477</v>
      </c>
      <c r="C1429" s="46"/>
    </row>
    <row r="1430" spans="1:3">
      <c r="A1430" s="52">
        <v>306</v>
      </c>
      <c r="B1430" s="54" t="s">
        <v>1546</v>
      </c>
      <c r="C1430" s="46"/>
    </row>
    <row r="1431" spans="1:3">
      <c r="A1431" s="52">
        <v>307</v>
      </c>
      <c r="B1431" s="54" t="s">
        <v>1547</v>
      </c>
      <c r="C1431" s="46"/>
    </row>
    <row r="1432" spans="1:3">
      <c r="A1432" s="52">
        <v>308</v>
      </c>
      <c r="B1432" s="54" t="s">
        <v>1450</v>
      </c>
      <c r="C1432" s="46"/>
    </row>
    <row r="1433" spans="1:3" ht="25.5">
      <c r="A1433" s="52">
        <v>309</v>
      </c>
      <c r="B1433" s="54" t="s">
        <v>376</v>
      </c>
      <c r="C1433" s="46"/>
    </row>
    <row r="1434" spans="1:3">
      <c r="A1434" s="52">
        <v>310</v>
      </c>
      <c r="B1434" s="54" t="s">
        <v>377</v>
      </c>
      <c r="C1434" s="46"/>
    </row>
    <row r="1435" spans="1:3">
      <c r="A1435" s="52">
        <v>311</v>
      </c>
      <c r="B1435" s="54" t="s">
        <v>782</v>
      </c>
      <c r="C1435" s="46"/>
    </row>
    <row r="1436" spans="1:3">
      <c r="A1436" s="52">
        <v>312</v>
      </c>
      <c r="B1436" s="54" t="s">
        <v>378</v>
      </c>
      <c r="C1436" s="46"/>
    </row>
    <row r="1437" spans="1:3">
      <c r="A1437" s="52">
        <v>313</v>
      </c>
      <c r="B1437" s="54" t="s">
        <v>783</v>
      </c>
      <c r="C1437" s="46"/>
    </row>
    <row r="1438" spans="1:3">
      <c r="A1438" s="52">
        <v>314</v>
      </c>
      <c r="B1438" s="54" t="s">
        <v>865</v>
      </c>
      <c r="C1438" s="46"/>
    </row>
    <row r="1439" spans="1:3">
      <c r="A1439" s="50">
        <v>400</v>
      </c>
      <c r="B1439" s="55" t="s">
        <v>379</v>
      </c>
      <c r="C1439" s="46"/>
    </row>
    <row r="1440" spans="1:3">
      <c r="A1440" s="52">
        <v>401</v>
      </c>
      <c r="B1440" s="56" t="s">
        <v>1593</v>
      </c>
      <c r="C1440" s="46"/>
    </row>
    <row r="1441" spans="1:3">
      <c r="A1441" s="52">
        <v>402</v>
      </c>
      <c r="B1441" s="53" t="s">
        <v>217</v>
      </c>
      <c r="C1441" s="46"/>
    </row>
    <row r="1442" spans="1:3">
      <c r="A1442" s="52">
        <v>403</v>
      </c>
      <c r="B1442" s="54" t="s">
        <v>1350</v>
      </c>
      <c r="C1442" s="46"/>
    </row>
    <row r="1443" spans="1:3">
      <c r="A1443" s="52">
        <v>404</v>
      </c>
      <c r="B1443" s="54" t="s">
        <v>1351</v>
      </c>
      <c r="C1443" s="46"/>
    </row>
    <row r="1444" spans="1:3">
      <c r="A1444" s="52">
        <v>405</v>
      </c>
      <c r="B1444" s="54" t="s">
        <v>1794</v>
      </c>
      <c r="C1444" s="46"/>
    </row>
    <row r="1445" spans="1:3">
      <c r="A1445" s="52">
        <v>406</v>
      </c>
      <c r="B1445" s="54" t="s">
        <v>1352</v>
      </c>
      <c r="C1445" s="46"/>
    </row>
    <row r="1446" spans="1:3">
      <c r="A1446" s="52">
        <v>407</v>
      </c>
      <c r="B1446" s="54" t="s">
        <v>1353</v>
      </c>
      <c r="C1446" s="46"/>
    </row>
    <row r="1447" spans="1:3">
      <c r="A1447" s="52">
        <v>408</v>
      </c>
      <c r="B1447" s="54" t="s">
        <v>1795</v>
      </c>
      <c r="C1447" s="46"/>
    </row>
    <row r="1448" spans="1:3">
      <c r="A1448" s="52">
        <v>409</v>
      </c>
      <c r="B1448" s="54" t="s">
        <v>366</v>
      </c>
      <c r="C1448" s="46"/>
    </row>
    <row r="1449" spans="1:3">
      <c r="A1449" s="52">
        <v>410</v>
      </c>
      <c r="B1449" s="54" t="s">
        <v>444</v>
      </c>
      <c r="C1449" s="46"/>
    </row>
    <row r="1450" spans="1:3">
      <c r="A1450" s="52">
        <v>411</v>
      </c>
      <c r="B1450" s="54" t="s">
        <v>1354</v>
      </c>
      <c r="C1450" s="46"/>
    </row>
    <row r="1451" spans="1:3">
      <c r="A1451" s="52">
        <v>412</v>
      </c>
      <c r="B1451" s="54" t="s">
        <v>867</v>
      </c>
      <c r="C1451" s="46"/>
    </row>
    <row r="1452" spans="1:3">
      <c r="A1452" s="50">
        <v>500</v>
      </c>
      <c r="B1452" s="55" t="s">
        <v>832</v>
      </c>
      <c r="C1452" s="46"/>
    </row>
    <row r="1453" spans="1:3">
      <c r="A1453" s="52">
        <v>501</v>
      </c>
      <c r="B1453" s="54" t="s">
        <v>558</v>
      </c>
      <c r="C1453" s="46"/>
    </row>
    <row r="1454" spans="1:3">
      <c r="A1454" s="52">
        <v>502</v>
      </c>
      <c r="B1454" s="54" t="s">
        <v>559</v>
      </c>
      <c r="C1454" s="46"/>
    </row>
    <row r="1455" spans="1:3">
      <c r="A1455" s="52">
        <v>503</v>
      </c>
      <c r="B1455" s="53" t="s">
        <v>330</v>
      </c>
      <c r="C1455" s="46"/>
    </row>
    <row r="1456" spans="1:3">
      <c r="A1456" s="52">
        <v>504</v>
      </c>
      <c r="B1456" s="54" t="s">
        <v>707</v>
      </c>
      <c r="C1456" s="46"/>
    </row>
    <row r="1457" spans="1:3">
      <c r="A1457" s="52">
        <v>505</v>
      </c>
      <c r="B1457" s="54" t="s">
        <v>770</v>
      </c>
      <c r="C1457" s="46"/>
    </row>
    <row r="1458" spans="1:3">
      <c r="A1458" s="50">
        <v>600</v>
      </c>
      <c r="B1458" s="57" t="s">
        <v>569</v>
      </c>
      <c r="C1458" s="46"/>
    </row>
    <row r="1459" spans="1:3">
      <c r="A1459" s="52">
        <v>601</v>
      </c>
      <c r="B1459" s="53" t="s">
        <v>570</v>
      </c>
      <c r="C1459" s="46"/>
    </row>
    <row r="1460" spans="1:3">
      <c r="A1460" s="52">
        <v>602</v>
      </c>
      <c r="B1460" s="54" t="s">
        <v>1610</v>
      </c>
      <c r="C1460" s="46"/>
    </row>
    <row r="1461" spans="1:3">
      <c r="A1461" s="52">
        <v>603</v>
      </c>
      <c r="B1461" s="54" t="s">
        <v>1611</v>
      </c>
      <c r="C1461" s="46"/>
    </row>
    <row r="1462" spans="1:3">
      <c r="A1462" s="52">
        <v>604</v>
      </c>
      <c r="B1462" s="54" t="s">
        <v>1800</v>
      </c>
      <c r="C1462" s="46"/>
    </row>
    <row r="1463" spans="1:3">
      <c r="A1463" s="52">
        <v>605</v>
      </c>
      <c r="B1463" s="54" t="s">
        <v>509</v>
      </c>
      <c r="C1463" s="46"/>
    </row>
    <row r="1464" spans="1:3">
      <c r="A1464" s="50">
        <v>700</v>
      </c>
      <c r="B1464" s="57" t="s">
        <v>1612</v>
      </c>
      <c r="C1464" s="46"/>
    </row>
    <row r="1465" spans="1:3">
      <c r="A1465" s="52">
        <v>701</v>
      </c>
      <c r="B1465" s="54" t="s">
        <v>32</v>
      </c>
      <c r="C1465" s="46"/>
    </row>
    <row r="1466" spans="1:3">
      <c r="A1466" s="52">
        <v>702</v>
      </c>
      <c r="B1466" s="54" t="s">
        <v>81</v>
      </c>
      <c r="C1466" s="46"/>
    </row>
    <row r="1467" spans="1:3">
      <c r="A1467" s="52">
        <v>703</v>
      </c>
      <c r="B1467" s="54" t="s">
        <v>1801</v>
      </c>
      <c r="C1467" s="46"/>
    </row>
    <row r="1468" spans="1:3">
      <c r="A1468" s="52">
        <v>704</v>
      </c>
      <c r="B1468" s="54" t="s">
        <v>375</v>
      </c>
      <c r="C1468" s="46"/>
    </row>
    <row r="1469" spans="1:3">
      <c r="A1469" s="52">
        <v>705</v>
      </c>
      <c r="B1469" s="54" t="s">
        <v>1048</v>
      </c>
      <c r="C1469" s="46"/>
    </row>
    <row r="1470" spans="1:3">
      <c r="A1470" s="58">
        <v>706</v>
      </c>
      <c r="B1470" s="59" t="s">
        <v>1049</v>
      </c>
      <c r="C1470" s="46"/>
    </row>
    <row r="1471" spans="1:3">
      <c r="A1471" s="52">
        <v>707</v>
      </c>
      <c r="B1471" s="54" t="s">
        <v>814</v>
      </c>
      <c r="C1471" s="46"/>
    </row>
    <row r="1472" spans="1:3">
      <c r="A1472" s="52">
        <v>708</v>
      </c>
      <c r="B1472" s="54" t="s">
        <v>574</v>
      </c>
      <c r="C1472" s="46"/>
    </row>
    <row r="1473" spans="1:3">
      <c r="A1473" s="52">
        <v>709</v>
      </c>
      <c r="B1473" s="54" t="s">
        <v>53</v>
      </c>
      <c r="C1473" s="46"/>
    </row>
    <row r="1474" spans="1:3">
      <c r="A1474" s="50">
        <v>800</v>
      </c>
      <c r="B1474" s="57" t="s">
        <v>1251</v>
      </c>
      <c r="C1474" s="46"/>
    </row>
    <row r="1475" spans="1:3">
      <c r="A1475" s="52">
        <v>801</v>
      </c>
      <c r="B1475" s="54" t="s">
        <v>390</v>
      </c>
      <c r="C1475" s="46"/>
    </row>
    <row r="1476" spans="1:3">
      <c r="A1476" s="52">
        <v>802</v>
      </c>
      <c r="B1476" s="54" t="s">
        <v>335</v>
      </c>
      <c r="C1476" s="46"/>
    </row>
    <row r="1477" spans="1:3">
      <c r="A1477" s="52">
        <v>803</v>
      </c>
      <c r="B1477" s="54" t="s">
        <v>1252</v>
      </c>
      <c r="C1477" s="46"/>
    </row>
    <row r="1478" spans="1:3">
      <c r="A1478" s="52">
        <v>804</v>
      </c>
      <c r="B1478" s="54" t="s">
        <v>1271</v>
      </c>
      <c r="C1478" s="46"/>
    </row>
    <row r="1479" spans="1:3">
      <c r="A1479" s="50">
        <v>900</v>
      </c>
      <c r="B1479" s="57" t="s">
        <v>1272</v>
      </c>
      <c r="C1479" s="46"/>
    </row>
    <row r="1480" spans="1:3">
      <c r="A1480" s="52">
        <v>901</v>
      </c>
      <c r="B1480" s="54" t="s">
        <v>239</v>
      </c>
      <c r="C1480" s="46"/>
    </row>
    <row r="1481" spans="1:3">
      <c r="A1481" s="52">
        <v>902</v>
      </c>
      <c r="B1481" s="54" t="s">
        <v>240</v>
      </c>
      <c r="C1481" s="46"/>
    </row>
    <row r="1482" spans="1:3">
      <c r="A1482" s="52">
        <v>903</v>
      </c>
      <c r="B1482" s="54" t="s">
        <v>192</v>
      </c>
      <c r="C1482" s="46"/>
    </row>
    <row r="1483" spans="1:3">
      <c r="A1483" s="52">
        <v>904</v>
      </c>
      <c r="B1483" s="54" t="s">
        <v>229</v>
      </c>
      <c r="C1483" s="46"/>
    </row>
    <row r="1484" spans="1:3">
      <c r="A1484" s="52">
        <v>905</v>
      </c>
      <c r="B1484" s="60" t="s">
        <v>58</v>
      </c>
      <c r="C1484" s="46"/>
    </row>
    <row r="1485" spans="1:3">
      <c r="A1485" s="52">
        <v>906</v>
      </c>
      <c r="B1485" s="60" t="s">
        <v>912</v>
      </c>
      <c r="C1485" s="46"/>
    </row>
    <row r="1486" spans="1:3">
      <c r="A1486" s="52">
        <v>907</v>
      </c>
      <c r="B1486" s="54" t="s">
        <v>913</v>
      </c>
      <c r="C1486" s="46"/>
    </row>
    <row r="1487" spans="1:3">
      <c r="A1487" s="52">
        <v>908</v>
      </c>
      <c r="B1487" s="53" t="s">
        <v>1273</v>
      </c>
      <c r="C1487" s="46"/>
    </row>
    <row r="1488" spans="1:3">
      <c r="A1488" s="52">
        <v>909</v>
      </c>
      <c r="B1488" s="54" t="s">
        <v>1274</v>
      </c>
      <c r="C1488" s="46"/>
    </row>
    <row r="1489" spans="1:3">
      <c r="A1489" s="50">
        <v>1000</v>
      </c>
      <c r="B1489" s="57" t="s">
        <v>1030</v>
      </c>
      <c r="C1489" s="46"/>
    </row>
    <row r="1490" spans="1:3">
      <c r="A1490" s="52">
        <v>1001</v>
      </c>
      <c r="B1490" s="54" t="s">
        <v>428</v>
      </c>
      <c r="C1490" s="46"/>
    </row>
    <row r="1491" spans="1:3">
      <c r="A1491" s="52">
        <v>1002</v>
      </c>
      <c r="B1491" s="54" t="s">
        <v>77</v>
      </c>
      <c r="C1491" s="46"/>
    </row>
    <row r="1492" spans="1:3">
      <c r="A1492" s="52">
        <v>1003</v>
      </c>
      <c r="B1492" s="54" t="s">
        <v>353</v>
      </c>
      <c r="C1492" s="46"/>
    </row>
    <row r="1493" spans="1:3">
      <c r="A1493" s="52">
        <v>1004</v>
      </c>
      <c r="B1493" s="53" t="s">
        <v>1031</v>
      </c>
      <c r="C1493" s="46"/>
    </row>
    <row r="1494" spans="1:3">
      <c r="A1494" s="52">
        <v>1005</v>
      </c>
      <c r="B1494" s="54" t="s">
        <v>1034</v>
      </c>
      <c r="C1494" s="46"/>
    </row>
    <row r="1495" spans="1:3">
      <c r="A1495" s="52">
        <v>1006</v>
      </c>
      <c r="B1495" s="54" t="s">
        <v>78</v>
      </c>
      <c r="C1495" s="46"/>
    </row>
    <row r="1496" spans="1:3">
      <c r="A1496" s="50">
        <v>1100</v>
      </c>
      <c r="B1496" s="57" t="s">
        <v>1275</v>
      </c>
      <c r="C1496" s="46"/>
    </row>
    <row r="1497" spans="1:3">
      <c r="A1497" s="52">
        <v>1101</v>
      </c>
      <c r="B1497" s="54" t="s">
        <v>1276</v>
      </c>
      <c r="C1497" s="46"/>
    </row>
    <row r="1498" spans="1:3">
      <c r="A1498" s="52">
        <v>1102</v>
      </c>
      <c r="B1498" s="60" t="s">
        <v>1277</v>
      </c>
      <c r="C1498" s="46"/>
    </row>
    <row r="1499" spans="1:3">
      <c r="A1499" s="52">
        <v>1103</v>
      </c>
      <c r="B1499" s="54" t="s">
        <v>1278</v>
      </c>
      <c r="C1499" s="46"/>
    </row>
    <row r="1500" spans="1:3">
      <c r="A1500" s="52">
        <v>1104</v>
      </c>
      <c r="B1500" s="54" t="s">
        <v>1279</v>
      </c>
      <c r="C1500" s="46"/>
    </row>
    <row r="1501" spans="1:3">
      <c r="A1501" s="52">
        <v>1105</v>
      </c>
      <c r="B1501" s="54" t="s">
        <v>1280</v>
      </c>
      <c r="C1501" s="46"/>
    </row>
    <row r="1502" spans="1:3">
      <c r="A1502" s="50">
        <v>1200</v>
      </c>
      <c r="B1502" s="57" t="s">
        <v>1281</v>
      </c>
    </row>
    <row r="1503" spans="1:3">
      <c r="A1503" s="52">
        <v>1201</v>
      </c>
      <c r="B1503" s="54" t="s">
        <v>336</v>
      </c>
    </row>
    <row r="1504" spans="1:3">
      <c r="A1504" s="52">
        <v>1202</v>
      </c>
      <c r="B1504" s="54" t="s">
        <v>185</v>
      </c>
    </row>
    <row r="1505" spans="1:2">
      <c r="A1505" s="52">
        <v>1203</v>
      </c>
      <c r="B1505" s="54" t="s">
        <v>1282</v>
      </c>
    </row>
    <row r="1506" spans="1:2">
      <c r="A1506" s="52">
        <v>1204</v>
      </c>
      <c r="B1506" s="54" t="s">
        <v>1283</v>
      </c>
    </row>
    <row r="1507" spans="1:2">
      <c r="A1507" s="50">
        <v>1300</v>
      </c>
      <c r="B1507" s="57" t="s">
        <v>1284</v>
      </c>
    </row>
    <row r="1508" spans="1:2">
      <c r="A1508" s="52">
        <v>1301</v>
      </c>
      <c r="B1508" s="54" t="s">
        <v>511</v>
      </c>
    </row>
    <row r="1509" spans="1:2">
      <c r="A1509" s="52">
        <v>1302</v>
      </c>
      <c r="B1509" s="54" t="s">
        <v>866</v>
      </c>
    </row>
    <row r="1510" spans="1:2" ht="25.5">
      <c r="A1510" s="50">
        <v>1400</v>
      </c>
      <c r="B1510" s="57" t="s">
        <v>880</v>
      </c>
    </row>
    <row r="1511" spans="1:2">
      <c r="A1511" s="52">
        <v>1401</v>
      </c>
      <c r="B1511" s="54" t="s">
        <v>881</v>
      </c>
    </row>
    <row r="1512" spans="1:2">
      <c r="A1512" s="52">
        <v>1402</v>
      </c>
      <c r="B1512" s="54" t="s">
        <v>882</v>
      </c>
    </row>
    <row r="1513" spans="1:2" ht="25.5">
      <c r="A1513" s="52">
        <v>1403</v>
      </c>
      <c r="B1513" s="54" t="s">
        <v>883</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Лист27"/>
  <dimension ref="A1:C4017"/>
  <sheetViews>
    <sheetView showGridLines="0" topLeftCell="A3269" zoomScaleSheetLayoutView="100" workbookViewId="0">
      <selection activeCell="B3905" sqref="B3905"/>
    </sheetView>
  </sheetViews>
  <sheetFormatPr defaultColWidth="9.140625" defaultRowHeight="12.75"/>
  <cols>
    <col min="1" max="1" width="11.85546875" style="63" customWidth="1"/>
    <col min="2" max="2" width="110.5703125" style="64" customWidth="1"/>
    <col min="3" max="16384" width="9.140625" style="76"/>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112">
        <v>10000</v>
      </c>
      <c r="B2036" s="110" t="s">
        <v>1346</v>
      </c>
    </row>
    <row r="2037" spans="1:2">
      <c r="A2037" s="112">
        <v>10100</v>
      </c>
      <c r="B2037" s="110" t="s">
        <v>423</v>
      </c>
    </row>
    <row r="2038" spans="1:2">
      <c r="A2038" s="112">
        <v>10200</v>
      </c>
      <c r="B2038" s="110" t="s">
        <v>1079</v>
      </c>
    </row>
    <row r="2039" spans="1:2">
      <c r="A2039" s="112">
        <v>10300</v>
      </c>
      <c r="B2039" s="110" t="s">
        <v>1062</v>
      </c>
    </row>
    <row r="2040" spans="1:2">
      <c r="A2040" s="112">
        <v>10400</v>
      </c>
      <c r="B2040" s="110" t="s">
        <v>1063</v>
      </c>
    </row>
    <row r="2041" spans="1:2" ht="25.5">
      <c r="A2041" s="112">
        <v>10500</v>
      </c>
      <c r="B2041" s="110" t="s">
        <v>1890</v>
      </c>
    </row>
    <row r="2042" spans="1:2">
      <c r="A2042" s="112">
        <v>10600</v>
      </c>
      <c r="B2042" s="110" t="s">
        <v>1606</v>
      </c>
    </row>
    <row r="2043" spans="1:2">
      <c r="A2043" s="112">
        <v>10700</v>
      </c>
      <c r="B2043" s="110" t="s">
        <v>1607</v>
      </c>
    </row>
    <row r="2044" spans="1:2">
      <c r="A2044" s="112">
        <v>10800</v>
      </c>
      <c r="B2044" s="110" t="s">
        <v>1797</v>
      </c>
    </row>
    <row r="2045" spans="1:2">
      <c r="A2045" s="112">
        <v>10900</v>
      </c>
      <c r="B2045" s="110" t="s">
        <v>1214</v>
      </c>
    </row>
    <row r="2046" spans="1:2">
      <c r="A2046" s="112">
        <v>11000</v>
      </c>
      <c r="B2046" s="110" t="s">
        <v>1215</v>
      </c>
    </row>
    <row r="2047" spans="1:2">
      <c r="A2047" s="112">
        <v>11100</v>
      </c>
      <c r="B2047" s="110" t="s">
        <v>1037</v>
      </c>
    </row>
    <row r="2048" spans="1:2">
      <c r="A2048" s="112">
        <v>11200</v>
      </c>
      <c r="B2048" s="110" t="s">
        <v>804</v>
      </c>
    </row>
    <row r="2049" spans="1:2">
      <c r="A2049" s="112">
        <v>11300</v>
      </c>
      <c r="B2049" s="110" t="s">
        <v>421</v>
      </c>
    </row>
    <row r="2050" spans="1:2">
      <c r="A2050" s="112">
        <v>11400</v>
      </c>
      <c r="B2050" s="110" t="s">
        <v>1145</v>
      </c>
    </row>
    <row r="2051" spans="1:2">
      <c r="A2051" s="112">
        <v>11500</v>
      </c>
      <c r="B2051" s="110" t="s">
        <v>1146</v>
      </c>
    </row>
    <row r="2052" spans="1:2">
      <c r="A2052" s="112">
        <v>11600</v>
      </c>
      <c r="B2052" s="110" t="s">
        <v>382</v>
      </c>
    </row>
    <row r="2053" spans="1:2">
      <c r="A2053" s="112">
        <v>11700</v>
      </c>
      <c r="B2053" s="110" t="s">
        <v>1183</v>
      </c>
    </row>
    <row r="2054" spans="1:2" ht="25.5">
      <c r="A2054" s="112">
        <v>11800</v>
      </c>
      <c r="B2054" s="110" t="s">
        <v>772</v>
      </c>
    </row>
    <row r="2055" spans="1:2">
      <c r="A2055" s="112">
        <v>11900</v>
      </c>
      <c r="B2055" s="110" t="s">
        <v>773</v>
      </c>
    </row>
    <row r="2056" spans="1:2" ht="76.5">
      <c r="A2056" s="112">
        <v>12000</v>
      </c>
      <c r="B2056" s="111" t="s">
        <v>1141</v>
      </c>
    </row>
    <row r="2057" spans="1:2">
      <c r="A2057" s="112">
        <v>12200</v>
      </c>
      <c r="B2057" s="110" t="s">
        <v>774</v>
      </c>
    </row>
    <row r="2058" spans="1:2">
      <c r="A2058" s="112">
        <v>12300</v>
      </c>
      <c r="B2058" s="110" t="s">
        <v>775</v>
      </c>
    </row>
    <row r="2059" spans="1:2">
      <c r="A2059" s="112">
        <v>12400</v>
      </c>
      <c r="B2059" s="110" t="s">
        <v>1515</v>
      </c>
    </row>
    <row r="2060" spans="1:2">
      <c r="A2060" s="112">
        <v>12500</v>
      </c>
      <c r="B2060" s="110" t="s">
        <v>1347</v>
      </c>
    </row>
    <row r="2061" spans="1:2">
      <c r="A2061" s="112">
        <v>12600</v>
      </c>
      <c r="B2061" s="110" t="s">
        <v>1348</v>
      </c>
    </row>
    <row r="2062" spans="1:2">
      <c r="A2062" s="112">
        <v>12700</v>
      </c>
      <c r="B2062" s="110" t="s">
        <v>531</v>
      </c>
    </row>
    <row r="2063" spans="1:2">
      <c r="A2063" s="112">
        <v>12900</v>
      </c>
      <c r="B2063" s="110" t="s">
        <v>1142</v>
      </c>
    </row>
    <row r="2064" spans="1:2">
      <c r="A2064" s="112">
        <v>13000</v>
      </c>
      <c r="B2064" s="110" t="s">
        <v>245</v>
      </c>
    </row>
    <row r="2065" spans="1:2">
      <c r="A2065" s="112">
        <v>13100</v>
      </c>
      <c r="B2065" s="110" t="s">
        <v>246</v>
      </c>
    </row>
    <row r="2066" spans="1:2">
      <c r="A2066" s="112">
        <v>13200</v>
      </c>
      <c r="B2066" s="110" t="s">
        <v>247</v>
      </c>
    </row>
    <row r="2067" spans="1:2">
      <c r="A2067" s="112">
        <v>13300</v>
      </c>
      <c r="B2067" s="110" t="s">
        <v>362</v>
      </c>
    </row>
    <row r="2068" spans="1:2">
      <c r="A2068" s="112">
        <v>13400</v>
      </c>
      <c r="B2068" s="110" t="s">
        <v>363</v>
      </c>
    </row>
    <row r="2069" spans="1:2" ht="25.5">
      <c r="A2069" s="112">
        <v>13500</v>
      </c>
      <c r="B2069" s="110" t="s">
        <v>1609</v>
      </c>
    </row>
    <row r="2070" spans="1:2">
      <c r="A2070" s="112">
        <v>13600</v>
      </c>
      <c r="B2070" s="110" t="s">
        <v>1210</v>
      </c>
    </row>
    <row r="2071" spans="1:2" ht="51">
      <c r="A2071" s="112">
        <v>13700</v>
      </c>
      <c r="B2071" s="111" t="s">
        <v>488</v>
      </c>
    </row>
    <row r="2072" spans="1:2">
      <c r="A2072" s="112">
        <v>13800</v>
      </c>
      <c r="B2072" s="110" t="s">
        <v>57</v>
      </c>
    </row>
    <row r="2073" spans="1:2">
      <c r="A2073" s="112">
        <v>13801</v>
      </c>
      <c r="B2073" s="110" t="s">
        <v>57</v>
      </c>
    </row>
    <row r="2074" spans="1:2" ht="25.5">
      <c r="A2074" s="112">
        <v>14000</v>
      </c>
      <c r="B2074" s="110" t="s">
        <v>1396</v>
      </c>
    </row>
    <row r="2075" spans="1:2">
      <c r="A2075" s="112">
        <v>14100</v>
      </c>
      <c r="B2075" s="110" t="s">
        <v>195</v>
      </c>
    </row>
    <row r="2076" spans="1:2" ht="25.5">
      <c r="A2076" s="112">
        <v>14200</v>
      </c>
      <c r="B2076" s="110" t="s">
        <v>1852</v>
      </c>
    </row>
    <row r="2077" spans="1:2">
      <c r="A2077" s="112">
        <v>14300</v>
      </c>
      <c r="B2077" s="110" t="s">
        <v>587</v>
      </c>
    </row>
    <row r="2078" spans="1:2" ht="25.5">
      <c r="A2078" s="112">
        <v>14400</v>
      </c>
      <c r="B2078" s="110" t="s">
        <v>1360</v>
      </c>
    </row>
    <row r="2079" spans="1:2" ht="25.5">
      <c r="A2079" s="112">
        <v>14500</v>
      </c>
      <c r="B2079" s="110" t="s">
        <v>215</v>
      </c>
    </row>
    <row r="2080" spans="1:2">
      <c r="A2080" s="112">
        <v>14600</v>
      </c>
      <c r="B2080" s="110" t="s">
        <v>216</v>
      </c>
    </row>
    <row r="2081" spans="1:2">
      <c r="A2081" s="112">
        <v>14700</v>
      </c>
      <c r="B2081" s="110" t="s">
        <v>92</v>
      </c>
    </row>
    <row r="2082" spans="1:2">
      <c r="A2082" s="112">
        <v>14900</v>
      </c>
      <c r="B2082" s="110" t="s">
        <v>1143</v>
      </c>
    </row>
    <row r="2083" spans="1:2" ht="25.5">
      <c r="A2083" s="112">
        <v>15100</v>
      </c>
      <c r="B2083" s="110" t="s">
        <v>596</v>
      </c>
    </row>
    <row r="2084" spans="1:2" ht="38.25">
      <c r="A2084" s="112">
        <v>15200</v>
      </c>
      <c r="B2084" s="110" t="s">
        <v>597</v>
      </c>
    </row>
    <row r="2085" spans="1:2" ht="25.5">
      <c r="A2085" s="112">
        <v>15300</v>
      </c>
      <c r="B2085" s="110" t="s">
        <v>598</v>
      </c>
    </row>
    <row r="2086" spans="1:2">
      <c r="A2086" s="112">
        <v>15500</v>
      </c>
      <c r="B2086" s="110" t="s">
        <v>578</v>
      </c>
    </row>
    <row r="2087" spans="1:2">
      <c r="A2087" s="112">
        <v>15800</v>
      </c>
      <c r="B2087" s="110" t="s">
        <v>579</v>
      </c>
    </row>
    <row r="2088" spans="1:2">
      <c r="A2088" s="112">
        <v>16700</v>
      </c>
      <c r="B2088" s="110" t="s">
        <v>48</v>
      </c>
    </row>
    <row r="2089" spans="1:2">
      <c r="A2089" s="112">
        <v>16800</v>
      </c>
      <c r="B2089" s="110" t="s">
        <v>618</v>
      </c>
    </row>
    <row r="2090" spans="1:2">
      <c r="A2090" s="112">
        <v>16801</v>
      </c>
      <c r="B2090" s="110" t="s">
        <v>386</v>
      </c>
    </row>
    <row r="2091" spans="1:2" ht="25.5">
      <c r="A2091" s="112">
        <v>16802</v>
      </c>
      <c r="B2091" s="110" t="s">
        <v>160</v>
      </c>
    </row>
    <row r="2092" spans="1:2">
      <c r="A2092" s="112">
        <v>17000</v>
      </c>
      <c r="B2092" s="110" t="s">
        <v>896</v>
      </c>
    </row>
    <row r="2093" spans="1:2">
      <c r="A2093" s="112">
        <v>17100</v>
      </c>
      <c r="B2093" s="110" t="s">
        <v>897</v>
      </c>
    </row>
    <row r="2094" spans="1:2">
      <c r="A2094" s="112">
        <v>17101</v>
      </c>
      <c r="B2094" s="110" t="s">
        <v>289</v>
      </c>
    </row>
    <row r="2095" spans="1:2">
      <c r="A2095" s="112">
        <v>17102</v>
      </c>
      <c r="B2095" s="110" t="s">
        <v>167</v>
      </c>
    </row>
    <row r="2096" spans="1:2">
      <c r="A2096" s="112">
        <v>17103</v>
      </c>
      <c r="B2096" s="110" t="s">
        <v>168</v>
      </c>
    </row>
    <row r="2097" spans="1:2">
      <c r="A2097" s="112">
        <v>17200</v>
      </c>
      <c r="B2097" s="110" t="s">
        <v>231</v>
      </c>
    </row>
    <row r="2098" spans="1:2">
      <c r="A2098" s="112">
        <v>17201</v>
      </c>
      <c r="B2098" s="110" t="s">
        <v>632</v>
      </c>
    </row>
    <row r="2099" spans="1:2">
      <c r="A2099" s="112">
        <v>17202</v>
      </c>
      <c r="B2099" s="110" t="s">
        <v>633</v>
      </c>
    </row>
    <row r="2100" spans="1:2">
      <c r="A2100" s="112">
        <v>17203</v>
      </c>
      <c r="B2100" s="110" t="s">
        <v>576</v>
      </c>
    </row>
    <row r="2101" spans="1:2">
      <c r="A2101" s="112">
        <v>17500</v>
      </c>
      <c r="B2101" s="110" t="s">
        <v>1181</v>
      </c>
    </row>
    <row r="2102" spans="1:2">
      <c r="A2102" s="112">
        <v>17600</v>
      </c>
      <c r="B2102" s="110" t="s">
        <v>1081</v>
      </c>
    </row>
    <row r="2103" spans="1:2">
      <c r="A2103" s="112">
        <v>17900</v>
      </c>
      <c r="B2103" s="110" t="s">
        <v>1082</v>
      </c>
    </row>
    <row r="2104" spans="1:2">
      <c r="A2104" s="112">
        <v>18200</v>
      </c>
      <c r="B2104" s="110" t="s">
        <v>1083</v>
      </c>
    </row>
    <row r="2105" spans="1:2">
      <c r="A2105" s="112">
        <v>19900</v>
      </c>
      <c r="B2105" s="110" t="s">
        <v>52</v>
      </c>
    </row>
    <row r="2106" spans="1:2" ht="25.5">
      <c r="A2106" s="112">
        <v>20000</v>
      </c>
      <c r="B2106" s="110" t="s">
        <v>1526</v>
      </c>
    </row>
    <row r="2107" spans="1:2">
      <c r="A2107" s="112">
        <v>20300</v>
      </c>
      <c r="B2107" s="110" t="s">
        <v>922</v>
      </c>
    </row>
    <row r="2108" spans="1:2">
      <c r="A2108" s="112">
        <v>20400</v>
      </c>
      <c r="B2108" s="110" t="s">
        <v>1063</v>
      </c>
    </row>
    <row r="2109" spans="1:2">
      <c r="A2109" s="112">
        <v>21100</v>
      </c>
      <c r="B2109" s="110" t="s">
        <v>1028</v>
      </c>
    </row>
    <row r="2110" spans="1:2">
      <c r="A2110" s="112">
        <v>21200</v>
      </c>
      <c r="B2110" s="110" t="s">
        <v>532</v>
      </c>
    </row>
    <row r="2111" spans="1:2">
      <c r="A2111" s="112">
        <v>22500</v>
      </c>
      <c r="B2111" s="110" t="s">
        <v>921</v>
      </c>
    </row>
    <row r="2112" spans="1:2">
      <c r="A2112" s="112">
        <v>100000</v>
      </c>
      <c r="B2112" s="110" t="s">
        <v>1090</v>
      </c>
    </row>
    <row r="2113" spans="1:2">
      <c r="A2113" s="112">
        <v>100100</v>
      </c>
      <c r="B2113" s="110" t="s">
        <v>1044</v>
      </c>
    </row>
    <row r="2114" spans="1:2">
      <c r="A2114" s="112">
        <v>100200</v>
      </c>
      <c r="B2114" s="110" t="s">
        <v>450</v>
      </c>
    </row>
    <row r="2115" spans="1:2">
      <c r="A2115" s="112">
        <v>200000</v>
      </c>
      <c r="B2115" s="110" t="s">
        <v>1195</v>
      </c>
    </row>
    <row r="2116" spans="1:2">
      <c r="A2116" s="112">
        <v>200002</v>
      </c>
      <c r="B2116" s="110" t="s">
        <v>1746</v>
      </c>
    </row>
    <row r="2117" spans="1:2">
      <c r="A2117" s="112">
        <v>200003</v>
      </c>
      <c r="B2117" s="110" t="s">
        <v>786</v>
      </c>
    </row>
    <row r="2118" spans="1:2">
      <c r="A2118" s="112">
        <v>200100</v>
      </c>
      <c r="B2118" s="110" t="s">
        <v>1518</v>
      </c>
    </row>
    <row r="2119" spans="1:2">
      <c r="A2119" s="112">
        <v>200200</v>
      </c>
      <c r="B2119" s="110" t="s">
        <v>1073</v>
      </c>
    </row>
    <row r="2120" spans="1:2">
      <c r="A2120" s="112">
        <v>200300</v>
      </c>
      <c r="B2120" s="110" t="s">
        <v>1074</v>
      </c>
    </row>
    <row r="2121" spans="1:2" ht="25.5">
      <c r="A2121" s="112">
        <v>200400</v>
      </c>
      <c r="B2121" s="110" t="s">
        <v>1209</v>
      </c>
    </row>
    <row r="2122" spans="1:2">
      <c r="A2122" s="112">
        <v>210000</v>
      </c>
      <c r="B2122" s="110" t="s">
        <v>74</v>
      </c>
    </row>
    <row r="2123" spans="1:2">
      <c r="A2123" s="112">
        <v>219900</v>
      </c>
      <c r="B2123" s="110" t="s">
        <v>52</v>
      </c>
    </row>
    <row r="2124" spans="1:2">
      <c r="A2124" s="112">
        <v>300000</v>
      </c>
      <c r="B2124" s="110" t="s">
        <v>1050</v>
      </c>
    </row>
    <row r="2125" spans="1:2">
      <c r="A2125" s="112">
        <v>300100</v>
      </c>
      <c r="B2125" s="110" t="s">
        <v>1016</v>
      </c>
    </row>
    <row r="2126" spans="1:2">
      <c r="A2126" s="112">
        <v>300300</v>
      </c>
      <c r="B2126" s="110" t="s">
        <v>599</v>
      </c>
    </row>
    <row r="2127" spans="1:2">
      <c r="A2127" s="112">
        <v>300301</v>
      </c>
      <c r="B2127" s="110" t="s">
        <v>788</v>
      </c>
    </row>
    <row r="2128" spans="1:2">
      <c r="A2128" s="112">
        <v>300302</v>
      </c>
      <c r="B2128" s="110" t="s">
        <v>789</v>
      </c>
    </row>
    <row r="2129" spans="1:2">
      <c r="A2129" s="112">
        <v>300400</v>
      </c>
      <c r="B2129" s="110" t="s">
        <v>422</v>
      </c>
    </row>
    <row r="2130" spans="1:2">
      <c r="A2130" s="112">
        <v>300500</v>
      </c>
      <c r="B2130" s="110" t="s">
        <v>1267</v>
      </c>
    </row>
    <row r="2131" spans="1:2">
      <c r="A2131" s="112">
        <v>300600</v>
      </c>
      <c r="B2131" s="110" t="s">
        <v>1268</v>
      </c>
    </row>
    <row r="2132" spans="1:2">
      <c r="A2132" s="112">
        <v>300700</v>
      </c>
      <c r="B2132" s="110" t="s">
        <v>672</v>
      </c>
    </row>
    <row r="2133" spans="1:2">
      <c r="A2133" s="112">
        <v>300800</v>
      </c>
      <c r="B2133" s="110" t="s">
        <v>673</v>
      </c>
    </row>
    <row r="2134" spans="1:2" ht="25.5">
      <c r="A2134" s="112">
        <v>300900</v>
      </c>
      <c r="B2134" s="110" t="s">
        <v>600</v>
      </c>
    </row>
    <row r="2135" spans="1:2">
      <c r="A2135" s="112">
        <v>301000</v>
      </c>
      <c r="B2135" s="110" t="s">
        <v>601</v>
      </c>
    </row>
    <row r="2136" spans="1:2">
      <c r="A2136" s="112">
        <v>301100</v>
      </c>
      <c r="B2136" s="110" t="s">
        <v>602</v>
      </c>
    </row>
    <row r="2137" spans="1:2">
      <c r="A2137" s="112">
        <v>301200</v>
      </c>
      <c r="B2137" s="110" t="s">
        <v>603</v>
      </c>
    </row>
    <row r="2138" spans="1:2">
      <c r="A2138" s="112">
        <v>301300</v>
      </c>
      <c r="B2138" s="110" t="s">
        <v>604</v>
      </c>
    </row>
    <row r="2139" spans="1:2">
      <c r="A2139" s="112">
        <v>301400</v>
      </c>
      <c r="B2139" s="110" t="s">
        <v>605</v>
      </c>
    </row>
    <row r="2140" spans="1:2">
      <c r="A2140" s="112">
        <v>309600</v>
      </c>
      <c r="B2140" s="110" t="s">
        <v>674</v>
      </c>
    </row>
    <row r="2141" spans="1:2">
      <c r="A2141" s="112">
        <v>309700</v>
      </c>
      <c r="B2141" s="110" t="s">
        <v>1103</v>
      </c>
    </row>
    <row r="2142" spans="1:2">
      <c r="A2142" s="112">
        <v>309800</v>
      </c>
      <c r="B2142" s="110" t="s">
        <v>1104</v>
      </c>
    </row>
    <row r="2143" spans="1:2">
      <c r="A2143" s="112">
        <v>310000</v>
      </c>
      <c r="B2143" s="110" t="s">
        <v>395</v>
      </c>
    </row>
    <row r="2144" spans="1:2">
      <c r="A2144" s="112">
        <v>310100</v>
      </c>
      <c r="B2144" s="110" t="s">
        <v>1247</v>
      </c>
    </row>
    <row r="2145" spans="1:2">
      <c r="A2145" s="112">
        <v>310200</v>
      </c>
      <c r="B2145" s="110" t="s">
        <v>915</v>
      </c>
    </row>
    <row r="2146" spans="1:2">
      <c r="A2146" s="112">
        <v>310300</v>
      </c>
      <c r="B2146" s="110" t="s">
        <v>916</v>
      </c>
    </row>
    <row r="2147" spans="1:2">
      <c r="A2147" s="112">
        <v>320000</v>
      </c>
      <c r="B2147" s="110" t="s">
        <v>385</v>
      </c>
    </row>
    <row r="2148" spans="1:2">
      <c r="A2148" s="112">
        <v>326900</v>
      </c>
      <c r="B2148" s="110" t="s">
        <v>347</v>
      </c>
    </row>
    <row r="2149" spans="1:2">
      <c r="A2149" s="112">
        <v>329600</v>
      </c>
      <c r="B2149" s="110" t="s">
        <v>674</v>
      </c>
    </row>
    <row r="2150" spans="1:2">
      <c r="A2150" s="112">
        <v>329800</v>
      </c>
      <c r="B2150" s="110" t="s">
        <v>1104</v>
      </c>
    </row>
    <row r="2151" spans="1:2">
      <c r="A2151" s="112">
        <v>340000</v>
      </c>
      <c r="B2151" s="110" t="s">
        <v>432</v>
      </c>
    </row>
    <row r="2152" spans="1:2">
      <c r="A2152" s="112">
        <v>340100</v>
      </c>
      <c r="B2152" s="110" t="s">
        <v>75</v>
      </c>
    </row>
    <row r="2153" spans="1:2">
      <c r="A2153" s="112">
        <v>400000</v>
      </c>
      <c r="B2153" s="110" t="s">
        <v>1519</v>
      </c>
    </row>
    <row r="2154" spans="1:2">
      <c r="A2154" s="112">
        <v>400100</v>
      </c>
      <c r="B2154" s="110" t="s">
        <v>186</v>
      </c>
    </row>
    <row r="2155" spans="1:2">
      <c r="A2155" s="112">
        <v>400200</v>
      </c>
      <c r="B2155" s="110" t="s">
        <v>416</v>
      </c>
    </row>
    <row r="2156" spans="1:2">
      <c r="A2156" s="112">
        <v>500000</v>
      </c>
      <c r="B2156" s="110" t="s">
        <v>1618</v>
      </c>
    </row>
    <row r="2157" spans="1:2">
      <c r="A2157" s="112">
        <v>500100</v>
      </c>
      <c r="B2157" s="110" t="s">
        <v>1204</v>
      </c>
    </row>
    <row r="2158" spans="1:2">
      <c r="A2158" s="112">
        <v>509900</v>
      </c>
      <c r="B2158" s="110" t="s">
        <v>52</v>
      </c>
    </row>
    <row r="2159" spans="1:2">
      <c r="A2159" s="112">
        <v>600000</v>
      </c>
      <c r="B2159" s="110" t="s">
        <v>785</v>
      </c>
    </row>
    <row r="2160" spans="1:2">
      <c r="A2160" s="112">
        <v>600400</v>
      </c>
      <c r="B2160" s="110" t="s">
        <v>1063</v>
      </c>
    </row>
    <row r="2161" spans="1:2">
      <c r="A2161" s="112">
        <v>607900</v>
      </c>
      <c r="B2161" s="110" t="s">
        <v>1082</v>
      </c>
    </row>
    <row r="2162" spans="1:2">
      <c r="A2162" s="112">
        <v>609200</v>
      </c>
      <c r="B2162" s="110" t="s">
        <v>1551</v>
      </c>
    </row>
    <row r="2163" spans="1:2" ht="25.5">
      <c r="A2163" s="112">
        <v>609300</v>
      </c>
      <c r="B2163" s="110" t="s">
        <v>660</v>
      </c>
    </row>
    <row r="2164" spans="1:2">
      <c r="A2164" s="112">
        <v>609400</v>
      </c>
      <c r="B2164" s="110" t="s">
        <v>623</v>
      </c>
    </row>
    <row r="2165" spans="1:2">
      <c r="A2165" s="112">
        <v>609900</v>
      </c>
      <c r="B2165" s="110" t="s">
        <v>52</v>
      </c>
    </row>
    <row r="2166" spans="1:2">
      <c r="A2166" s="112">
        <v>610000</v>
      </c>
      <c r="B2166" s="110" t="s">
        <v>164</v>
      </c>
    </row>
    <row r="2167" spans="1:2" ht="25.5">
      <c r="A2167" s="112">
        <v>615600</v>
      </c>
      <c r="B2167" s="110" t="s">
        <v>320</v>
      </c>
    </row>
    <row r="2168" spans="1:2">
      <c r="A2168" s="112">
        <v>619000</v>
      </c>
      <c r="B2168" s="110" t="s">
        <v>942</v>
      </c>
    </row>
    <row r="2169" spans="1:2">
      <c r="A2169" s="112">
        <v>619100</v>
      </c>
      <c r="B2169" s="110" t="s">
        <v>21</v>
      </c>
    </row>
    <row r="2170" spans="1:2">
      <c r="A2170" s="112">
        <v>619200</v>
      </c>
      <c r="B2170" s="110" t="s">
        <v>1551</v>
      </c>
    </row>
    <row r="2171" spans="1:2">
      <c r="A2171" s="112">
        <v>619900</v>
      </c>
      <c r="B2171" s="110" t="s">
        <v>52</v>
      </c>
    </row>
    <row r="2172" spans="1:2">
      <c r="A2172" s="112">
        <v>650000</v>
      </c>
      <c r="B2172" s="110" t="s">
        <v>1743</v>
      </c>
    </row>
    <row r="2173" spans="1:2">
      <c r="A2173" s="112">
        <v>650100</v>
      </c>
      <c r="B2173" s="110" t="s">
        <v>873</v>
      </c>
    </row>
    <row r="2174" spans="1:2">
      <c r="A2174" s="112">
        <v>650300</v>
      </c>
      <c r="B2174" s="110" t="s">
        <v>728</v>
      </c>
    </row>
    <row r="2175" spans="1:2">
      <c r="A2175" s="112">
        <v>700000</v>
      </c>
      <c r="B2175" s="110" t="s">
        <v>825</v>
      </c>
    </row>
    <row r="2176" spans="1:2">
      <c r="A2176" s="112">
        <v>700100</v>
      </c>
      <c r="B2176" s="110" t="s">
        <v>642</v>
      </c>
    </row>
    <row r="2177" spans="1:2">
      <c r="A2177" s="112">
        <v>700200</v>
      </c>
      <c r="B2177" s="110" t="s">
        <v>624</v>
      </c>
    </row>
    <row r="2178" spans="1:2" ht="25.5">
      <c r="A2178" s="112">
        <v>700300</v>
      </c>
      <c r="B2178" s="110" t="s">
        <v>526</v>
      </c>
    </row>
    <row r="2179" spans="1:2">
      <c r="A2179" s="112">
        <v>700400</v>
      </c>
      <c r="B2179" s="110" t="s">
        <v>606</v>
      </c>
    </row>
    <row r="2180" spans="1:2">
      <c r="A2180" s="112">
        <v>700500</v>
      </c>
      <c r="B2180" s="110" t="s">
        <v>1994</v>
      </c>
    </row>
    <row r="2181" spans="1:2">
      <c r="A2181" s="112">
        <v>750000</v>
      </c>
      <c r="B2181" s="110" t="s">
        <v>869</v>
      </c>
    </row>
    <row r="2182" spans="1:2">
      <c r="A2182" s="112">
        <v>750100</v>
      </c>
      <c r="B2182" s="110" t="s">
        <v>869</v>
      </c>
    </row>
    <row r="2183" spans="1:2">
      <c r="A2183" s="112">
        <v>800000</v>
      </c>
      <c r="B2183" s="110" t="s">
        <v>671</v>
      </c>
    </row>
    <row r="2184" spans="1:2">
      <c r="A2184" s="112">
        <v>800100</v>
      </c>
      <c r="B2184" s="110" t="s">
        <v>870</v>
      </c>
    </row>
    <row r="2185" spans="1:2">
      <c r="A2185" s="112">
        <v>800200</v>
      </c>
      <c r="B2185" s="110" t="s">
        <v>871</v>
      </c>
    </row>
    <row r="2186" spans="1:2" ht="25.5">
      <c r="A2186" s="112">
        <v>809300</v>
      </c>
      <c r="B2186" s="110" t="s">
        <v>660</v>
      </c>
    </row>
    <row r="2187" spans="1:2">
      <c r="A2187" s="112">
        <v>810000</v>
      </c>
      <c r="B2187" s="110" t="s">
        <v>930</v>
      </c>
    </row>
    <row r="2188" spans="1:2" ht="25.5">
      <c r="A2188" s="112">
        <v>810100</v>
      </c>
      <c r="B2188" s="110" t="s">
        <v>1478</v>
      </c>
    </row>
    <row r="2189" spans="1:2">
      <c r="A2189" s="112">
        <v>810200</v>
      </c>
      <c r="B2189" s="110" t="s">
        <v>241</v>
      </c>
    </row>
    <row r="2190" spans="1:2" ht="25.5">
      <c r="A2190" s="112">
        <v>810300</v>
      </c>
      <c r="B2190" s="110" t="s">
        <v>491</v>
      </c>
    </row>
    <row r="2191" spans="1:2" ht="25.5">
      <c r="A2191" s="112">
        <v>810400</v>
      </c>
      <c r="B2191" s="110" t="s">
        <v>607</v>
      </c>
    </row>
    <row r="2192" spans="1:2">
      <c r="A2192" s="112">
        <v>815800</v>
      </c>
      <c r="B2192" s="110" t="s">
        <v>579</v>
      </c>
    </row>
    <row r="2193" spans="1:2">
      <c r="A2193" s="112">
        <v>816800</v>
      </c>
      <c r="B2193" s="110" t="s">
        <v>49</v>
      </c>
    </row>
    <row r="2194" spans="1:2">
      <c r="A2194" s="112">
        <v>816801</v>
      </c>
      <c r="B2194" s="110" t="s">
        <v>386</v>
      </c>
    </row>
    <row r="2195" spans="1:2" ht="25.5">
      <c r="A2195" s="112">
        <v>816802</v>
      </c>
      <c r="B2195" s="110" t="s">
        <v>160</v>
      </c>
    </row>
    <row r="2196" spans="1:2">
      <c r="A2196" s="112">
        <v>816900</v>
      </c>
      <c r="B2196" s="110" t="s">
        <v>347</v>
      </c>
    </row>
    <row r="2197" spans="1:2">
      <c r="A2197" s="112">
        <v>817100</v>
      </c>
      <c r="B2197" s="110" t="s">
        <v>897</v>
      </c>
    </row>
    <row r="2198" spans="1:2">
      <c r="A2198" s="112">
        <v>817101</v>
      </c>
      <c r="B2198" s="110" t="s">
        <v>289</v>
      </c>
    </row>
    <row r="2199" spans="1:2">
      <c r="A2199" s="112">
        <v>817102</v>
      </c>
      <c r="B2199" s="110" t="s">
        <v>167</v>
      </c>
    </row>
    <row r="2200" spans="1:2">
      <c r="A2200" s="112">
        <v>817103</v>
      </c>
      <c r="B2200" s="110" t="s">
        <v>168</v>
      </c>
    </row>
    <row r="2201" spans="1:2">
      <c r="A2201" s="112">
        <v>817200</v>
      </c>
      <c r="B2201" s="110" t="s">
        <v>231</v>
      </c>
    </row>
    <row r="2202" spans="1:2">
      <c r="A2202" s="112">
        <v>817201</v>
      </c>
      <c r="B2202" s="110" t="s">
        <v>632</v>
      </c>
    </row>
    <row r="2203" spans="1:2">
      <c r="A2203" s="112">
        <v>817202</v>
      </c>
      <c r="B2203" s="110" t="s">
        <v>633</v>
      </c>
    </row>
    <row r="2204" spans="1:2">
      <c r="A2204" s="112">
        <v>817203</v>
      </c>
      <c r="B2204" s="110" t="s">
        <v>576</v>
      </c>
    </row>
    <row r="2205" spans="1:2">
      <c r="A2205" s="112">
        <v>817600</v>
      </c>
      <c r="B2205" s="110" t="s">
        <v>1081</v>
      </c>
    </row>
    <row r="2206" spans="1:2">
      <c r="A2206" s="112">
        <v>818700</v>
      </c>
      <c r="B2206" s="110" t="s">
        <v>492</v>
      </c>
    </row>
    <row r="2207" spans="1:2">
      <c r="A2207" s="112">
        <v>818800</v>
      </c>
      <c r="B2207" s="110" t="s">
        <v>608</v>
      </c>
    </row>
    <row r="2208" spans="1:2">
      <c r="A2208" s="112">
        <v>819200</v>
      </c>
      <c r="B2208" s="110" t="s">
        <v>1551</v>
      </c>
    </row>
    <row r="2209" spans="1:2" ht="25.5">
      <c r="A2209" s="112">
        <v>819300</v>
      </c>
      <c r="B2209" s="110" t="s">
        <v>660</v>
      </c>
    </row>
    <row r="2210" spans="1:2">
      <c r="A2210" s="112">
        <v>819900</v>
      </c>
      <c r="B2210" s="110" t="s">
        <v>52</v>
      </c>
    </row>
    <row r="2211" spans="1:2" ht="25.5">
      <c r="A2211" s="112">
        <v>900000</v>
      </c>
      <c r="B2211" s="110" t="s">
        <v>493</v>
      </c>
    </row>
    <row r="2212" spans="1:2">
      <c r="A2212" s="112">
        <v>900100</v>
      </c>
      <c r="B2212" s="110" t="s">
        <v>494</v>
      </c>
    </row>
    <row r="2213" spans="1:2">
      <c r="A2213" s="112">
        <v>900200</v>
      </c>
      <c r="B2213" s="110" t="s">
        <v>609</v>
      </c>
    </row>
    <row r="2214" spans="1:2">
      <c r="A2214" s="112">
        <v>909900</v>
      </c>
      <c r="B2214" s="110" t="s">
        <v>52</v>
      </c>
    </row>
    <row r="2215" spans="1:2">
      <c r="A2215" s="112">
        <v>910000</v>
      </c>
      <c r="B2215" s="110" t="s">
        <v>250</v>
      </c>
    </row>
    <row r="2216" spans="1:2">
      <c r="A2216" s="112">
        <v>910100</v>
      </c>
      <c r="B2216" s="110" t="s">
        <v>197</v>
      </c>
    </row>
    <row r="2217" spans="1:2">
      <c r="A2217" s="112">
        <v>910101</v>
      </c>
      <c r="B2217" s="110" t="s">
        <v>489</v>
      </c>
    </row>
    <row r="2218" spans="1:2">
      <c r="A2218" s="112">
        <v>910200</v>
      </c>
      <c r="B2218" s="110" t="s">
        <v>490</v>
      </c>
    </row>
    <row r="2219" spans="1:2">
      <c r="A2219" s="112">
        <v>910300</v>
      </c>
      <c r="B2219" s="110" t="s">
        <v>610</v>
      </c>
    </row>
    <row r="2220" spans="1:2">
      <c r="A2220" s="112">
        <v>920000</v>
      </c>
      <c r="B2220" s="110" t="s">
        <v>715</v>
      </c>
    </row>
    <row r="2221" spans="1:2">
      <c r="A2221" s="112">
        <v>920100</v>
      </c>
      <c r="B2221" s="110" t="s">
        <v>611</v>
      </c>
    </row>
    <row r="2222" spans="1:2" ht="25.5">
      <c r="A2222" s="112">
        <v>920200</v>
      </c>
      <c r="B2222" s="110" t="s">
        <v>323</v>
      </c>
    </row>
    <row r="2223" spans="1:2">
      <c r="A2223" s="112">
        <v>920300</v>
      </c>
      <c r="B2223" s="110" t="s">
        <v>1268</v>
      </c>
    </row>
    <row r="2224" spans="1:2">
      <c r="A2224" s="112">
        <v>920301</v>
      </c>
      <c r="B2224" s="110" t="s">
        <v>724</v>
      </c>
    </row>
    <row r="2225" spans="1:2">
      <c r="A2225" s="112">
        <v>920303</v>
      </c>
      <c r="B2225" s="110" t="s">
        <v>725</v>
      </c>
    </row>
    <row r="2226" spans="1:2">
      <c r="A2226" s="112">
        <v>920305</v>
      </c>
      <c r="B2226" s="110" t="s">
        <v>712</v>
      </c>
    </row>
    <row r="2227" spans="1:2">
      <c r="A2227" s="112">
        <v>920400</v>
      </c>
      <c r="B2227" s="110" t="s">
        <v>204</v>
      </c>
    </row>
    <row r="2228" spans="1:2" ht="25.5">
      <c r="A2228" s="112">
        <v>920500</v>
      </c>
      <c r="B2228" s="110" t="s">
        <v>1847</v>
      </c>
    </row>
    <row r="2229" spans="1:2">
      <c r="A2229" s="112">
        <v>920600</v>
      </c>
      <c r="B2229" s="110" t="s">
        <v>1848</v>
      </c>
    </row>
    <row r="2230" spans="1:2">
      <c r="A2230" s="112">
        <v>920700</v>
      </c>
      <c r="B2230" s="110" t="s">
        <v>891</v>
      </c>
    </row>
    <row r="2231" spans="1:2" ht="25.5">
      <c r="A2231" s="112">
        <v>920800</v>
      </c>
      <c r="B2231" s="110" t="s">
        <v>374</v>
      </c>
    </row>
    <row r="2232" spans="1:2">
      <c r="A2232" s="112">
        <v>920900</v>
      </c>
      <c r="B2232" s="110" t="s">
        <v>238</v>
      </c>
    </row>
    <row r="2233" spans="1:2" ht="25.5">
      <c r="A2233" s="112">
        <v>921200</v>
      </c>
      <c r="B2233" s="110" t="s">
        <v>612</v>
      </c>
    </row>
    <row r="2234" spans="1:2" ht="25.5">
      <c r="A2234" s="112">
        <v>921300</v>
      </c>
      <c r="B2234" s="110" t="s">
        <v>613</v>
      </c>
    </row>
    <row r="2235" spans="1:2" ht="25.5">
      <c r="A2235" s="112">
        <v>921400</v>
      </c>
      <c r="B2235" s="110" t="s">
        <v>614</v>
      </c>
    </row>
    <row r="2236" spans="1:2" ht="51">
      <c r="A2236" s="112">
        <v>921500</v>
      </c>
      <c r="B2236" s="111" t="s">
        <v>1179</v>
      </c>
    </row>
    <row r="2237" spans="1:2">
      <c r="A2237" s="112">
        <v>921600</v>
      </c>
      <c r="B2237" s="110" t="s">
        <v>1180</v>
      </c>
    </row>
    <row r="2238" spans="1:2">
      <c r="A2238" s="112">
        <v>921700</v>
      </c>
      <c r="B2238" s="110" t="s">
        <v>1862</v>
      </c>
    </row>
    <row r="2239" spans="1:2" ht="25.5">
      <c r="A2239" s="112">
        <v>921800</v>
      </c>
      <c r="B2239" s="110" t="s">
        <v>1178</v>
      </c>
    </row>
    <row r="2240" spans="1:2" ht="25.5">
      <c r="A2240" s="112">
        <v>921900</v>
      </c>
      <c r="B2240" s="110" t="s">
        <v>1726</v>
      </c>
    </row>
    <row r="2241" spans="1:3" ht="25.5">
      <c r="A2241" s="112">
        <v>922000</v>
      </c>
      <c r="B2241" s="110" t="s">
        <v>1727</v>
      </c>
    </row>
    <row r="2242" spans="1:3" ht="25.5">
      <c r="A2242" s="112">
        <v>922100</v>
      </c>
      <c r="B2242" s="110" t="s">
        <v>1728</v>
      </c>
    </row>
    <row r="2243" spans="1:3" ht="38.25">
      <c r="A2243" s="112">
        <v>922400</v>
      </c>
      <c r="B2243" s="111" t="s">
        <v>1729</v>
      </c>
    </row>
    <row r="2244" spans="1:3" ht="25.5">
      <c r="A2244" s="112">
        <v>922500</v>
      </c>
      <c r="B2244" s="110" t="s">
        <v>1730</v>
      </c>
    </row>
    <row r="2245" spans="1:3" ht="76.5">
      <c r="A2245" s="112">
        <v>922600</v>
      </c>
      <c r="B2245" s="111" t="s">
        <v>1731</v>
      </c>
    </row>
    <row r="2246" spans="1:3">
      <c r="A2246" s="112">
        <v>922700</v>
      </c>
      <c r="B2246" s="110" t="s">
        <v>1732</v>
      </c>
    </row>
    <row r="2247" spans="1:3">
      <c r="A2247" s="112">
        <v>922800</v>
      </c>
      <c r="B2247" s="110" t="s">
        <v>1733</v>
      </c>
      <c r="C2247" s="76" t="s">
        <v>66</v>
      </c>
    </row>
    <row r="2248" spans="1:3">
      <c r="A2248" s="112">
        <v>922900</v>
      </c>
      <c r="B2248" s="110" t="s">
        <v>1734</v>
      </c>
    </row>
    <row r="2249" spans="1:3" ht="25.5">
      <c r="A2249" s="112">
        <v>923000</v>
      </c>
      <c r="B2249" s="110" t="s">
        <v>1735</v>
      </c>
    </row>
    <row r="2250" spans="1:3" ht="25.5">
      <c r="A2250" s="112">
        <v>923001</v>
      </c>
      <c r="B2250" s="110" t="s">
        <v>1736</v>
      </c>
    </row>
    <row r="2251" spans="1:3">
      <c r="A2251" s="112">
        <v>923100</v>
      </c>
      <c r="B2251" s="110" t="s">
        <v>1737</v>
      </c>
    </row>
    <row r="2252" spans="1:3">
      <c r="A2252" s="112">
        <v>923101</v>
      </c>
      <c r="B2252" s="110" t="s">
        <v>1738</v>
      </c>
    </row>
    <row r="2253" spans="1:3" ht="25.5">
      <c r="A2253" s="112">
        <v>923102</v>
      </c>
      <c r="B2253" s="110" t="s">
        <v>1739</v>
      </c>
    </row>
    <row r="2254" spans="1:3" ht="25.5">
      <c r="A2254" s="112">
        <v>923200</v>
      </c>
      <c r="B2254" s="110" t="s">
        <v>1740</v>
      </c>
    </row>
    <row r="2255" spans="1:3">
      <c r="A2255" s="112">
        <v>923400</v>
      </c>
      <c r="B2255" s="110" t="s">
        <v>1741</v>
      </c>
    </row>
    <row r="2256" spans="1:3" ht="38.25">
      <c r="A2256" s="112">
        <v>923401</v>
      </c>
      <c r="B2256" s="110" t="s">
        <v>2253</v>
      </c>
    </row>
    <row r="2257" spans="1:2" ht="38.25">
      <c r="A2257" s="112">
        <v>923403</v>
      </c>
      <c r="B2257" s="110" t="s">
        <v>1995</v>
      </c>
    </row>
    <row r="2258" spans="1:2">
      <c r="A2258" s="112">
        <v>923500</v>
      </c>
      <c r="B2258" s="110" t="s">
        <v>1742</v>
      </c>
    </row>
    <row r="2259" spans="1:2" ht="25.5">
      <c r="A2259" s="112">
        <v>923700</v>
      </c>
      <c r="B2259" s="110" t="s">
        <v>22</v>
      </c>
    </row>
    <row r="2260" spans="1:2" ht="25.5">
      <c r="A2260" s="112">
        <v>923800</v>
      </c>
      <c r="B2260" s="110" t="s">
        <v>23</v>
      </c>
    </row>
    <row r="2261" spans="1:2">
      <c r="A2261" s="112">
        <v>924000</v>
      </c>
      <c r="B2261" s="110" t="s">
        <v>24</v>
      </c>
    </row>
    <row r="2262" spans="1:2" ht="25.5">
      <c r="A2262" s="112">
        <v>924100</v>
      </c>
      <c r="B2262" s="110" t="s">
        <v>699</v>
      </c>
    </row>
    <row r="2263" spans="1:2" ht="25.5">
      <c r="A2263" s="112">
        <v>924200</v>
      </c>
      <c r="B2263" s="110" t="s">
        <v>700</v>
      </c>
    </row>
    <row r="2264" spans="1:2">
      <c r="A2264" s="112">
        <v>926600</v>
      </c>
      <c r="B2264" s="110" t="s">
        <v>424</v>
      </c>
    </row>
    <row r="2265" spans="1:2" ht="25.5">
      <c r="A2265" s="112">
        <v>928000</v>
      </c>
      <c r="B2265" s="110" t="s">
        <v>1134</v>
      </c>
    </row>
    <row r="2266" spans="1:2">
      <c r="A2266" s="112">
        <v>928400</v>
      </c>
      <c r="B2266" s="110" t="s">
        <v>1135</v>
      </c>
    </row>
    <row r="2267" spans="1:2">
      <c r="A2267" s="112">
        <v>928500</v>
      </c>
      <c r="B2267" s="110" t="s">
        <v>1140</v>
      </c>
    </row>
    <row r="2268" spans="1:2">
      <c r="A2268" s="112">
        <v>929900</v>
      </c>
      <c r="B2268" s="110" t="s">
        <v>52</v>
      </c>
    </row>
    <row r="2269" spans="1:2">
      <c r="A2269" s="112">
        <v>930000</v>
      </c>
      <c r="B2269" s="110" t="s">
        <v>628</v>
      </c>
    </row>
    <row r="2270" spans="1:2" ht="25.5">
      <c r="A2270" s="112">
        <v>930100</v>
      </c>
      <c r="B2270" s="110" t="s">
        <v>701</v>
      </c>
    </row>
    <row r="2271" spans="1:2">
      <c r="A2271" s="112">
        <v>936600</v>
      </c>
      <c r="B2271" s="110" t="s">
        <v>424</v>
      </c>
    </row>
    <row r="2272" spans="1:2">
      <c r="A2272" s="112">
        <v>939900</v>
      </c>
      <c r="B2272" s="110" t="s">
        <v>52</v>
      </c>
    </row>
    <row r="2273" spans="1:2">
      <c r="A2273" s="112">
        <v>940000</v>
      </c>
      <c r="B2273" s="110" t="s">
        <v>426</v>
      </c>
    </row>
    <row r="2274" spans="1:2">
      <c r="A2274" s="112">
        <v>948400</v>
      </c>
      <c r="B2274" s="110" t="s">
        <v>1586</v>
      </c>
    </row>
    <row r="2275" spans="1:2">
      <c r="A2275" s="112">
        <v>950000</v>
      </c>
      <c r="B2275" s="110" t="s">
        <v>702</v>
      </c>
    </row>
    <row r="2276" spans="1:2" ht="25.5">
      <c r="A2276" s="112">
        <v>960000</v>
      </c>
      <c r="B2276" s="110" t="s">
        <v>1241</v>
      </c>
    </row>
    <row r="2277" spans="1:2" ht="25.5">
      <c r="A2277" s="112">
        <v>960100</v>
      </c>
      <c r="B2277" s="110" t="s">
        <v>1242</v>
      </c>
    </row>
    <row r="2278" spans="1:2" ht="38.25">
      <c r="A2278" s="112">
        <v>960200</v>
      </c>
      <c r="B2278" s="110" t="s">
        <v>1237</v>
      </c>
    </row>
    <row r="2279" spans="1:2" ht="25.5">
      <c r="A2279" s="112">
        <v>960300</v>
      </c>
      <c r="B2279" s="110" t="s">
        <v>1238</v>
      </c>
    </row>
    <row r="2280" spans="1:2">
      <c r="A2280" s="112">
        <v>970000</v>
      </c>
      <c r="B2280" s="110" t="s">
        <v>1239</v>
      </c>
    </row>
    <row r="2281" spans="1:2">
      <c r="A2281" s="112">
        <v>970100</v>
      </c>
      <c r="B2281" s="110" t="s">
        <v>1240</v>
      </c>
    </row>
    <row r="2282" spans="1:2" ht="25.5">
      <c r="A2282" s="112">
        <v>980000</v>
      </c>
      <c r="B2282" s="110" t="s">
        <v>2142</v>
      </c>
    </row>
    <row r="2283" spans="1:2" ht="38.25">
      <c r="A2283" s="112">
        <v>980100</v>
      </c>
      <c r="B2283" s="110" t="s">
        <v>1328</v>
      </c>
    </row>
    <row r="2284" spans="1:2" ht="25.5">
      <c r="A2284" s="112">
        <v>980101</v>
      </c>
      <c r="B2284" s="110" t="s">
        <v>1071</v>
      </c>
    </row>
    <row r="2285" spans="1:2" ht="25.5">
      <c r="A2285" s="112">
        <v>980102</v>
      </c>
      <c r="B2285" s="110" t="s">
        <v>1996</v>
      </c>
    </row>
    <row r="2286" spans="1:2" ht="38.25">
      <c r="A2286" s="112">
        <v>980104</v>
      </c>
      <c r="B2286" s="110" t="s">
        <v>1997</v>
      </c>
    </row>
    <row r="2287" spans="1:2" ht="25.5">
      <c r="A2287" s="112">
        <v>980200</v>
      </c>
      <c r="B2287" s="110" t="s">
        <v>1998</v>
      </c>
    </row>
    <row r="2288" spans="1:2" ht="25.5">
      <c r="A2288" s="112">
        <v>980201</v>
      </c>
      <c r="B2288" s="110" t="s">
        <v>1999</v>
      </c>
    </row>
    <row r="2289" spans="1:2">
      <c r="A2289" s="112">
        <v>980202</v>
      </c>
      <c r="B2289" s="110" t="s">
        <v>2000</v>
      </c>
    </row>
    <row r="2290" spans="1:2" ht="25.5">
      <c r="A2290" s="112">
        <v>980204</v>
      </c>
      <c r="B2290" s="110" t="s">
        <v>1603</v>
      </c>
    </row>
    <row r="2291" spans="1:2" ht="25.5">
      <c r="A2291" s="112">
        <v>980300</v>
      </c>
      <c r="B2291" s="110" t="s">
        <v>1775</v>
      </c>
    </row>
    <row r="2292" spans="1:2">
      <c r="A2292" s="112">
        <v>990000</v>
      </c>
      <c r="B2292" s="110" t="s">
        <v>1776</v>
      </c>
    </row>
    <row r="2293" spans="1:2">
      <c r="A2293" s="112">
        <v>990100</v>
      </c>
      <c r="B2293" s="110" t="s">
        <v>1777</v>
      </c>
    </row>
    <row r="2294" spans="1:2">
      <c r="A2294" s="112" t="s">
        <v>1778</v>
      </c>
      <c r="B2294" s="110"/>
    </row>
    <row r="2295" spans="1:2" ht="25.5">
      <c r="A2295" s="112">
        <v>990102</v>
      </c>
      <c r="B2295" s="110" t="s">
        <v>1779</v>
      </c>
    </row>
    <row r="2296" spans="1:2">
      <c r="A2296" s="112">
        <v>990104</v>
      </c>
      <c r="B2296" s="110" t="s">
        <v>1780</v>
      </c>
    </row>
    <row r="2297" spans="1:2" ht="25.5">
      <c r="A2297" s="112">
        <v>990105</v>
      </c>
      <c r="B2297" s="110" t="s">
        <v>1781</v>
      </c>
    </row>
    <row r="2298" spans="1:2">
      <c r="A2298" s="112">
        <v>990106</v>
      </c>
      <c r="B2298" s="110" t="s">
        <v>1782</v>
      </c>
    </row>
    <row r="2299" spans="1:2">
      <c r="A2299" s="112">
        <v>990107</v>
      </c>
      <c r="B2299" s="110" t="s">
        <v>655</v>
      </c>
    </row>
    <row r="2300" spans="1:2" ht="25.5">
      <c r="A2300" s="112">
        <v>990108</v>
      </c>
      <c r="B2300" s="110" t="s">
        <v>656</v>
      </c>
    </row>
    <row r="2301" spans="1:2" ht="25.5">
      <c r="A2301" s="112">
        <v>990109</v>
      </c>
      <c r="B2301" s="110" t="s">
        <v>657</v>
      </c>
    </row>
    <row r="2302" spans="1:2" ht="25.5">
      <c r="A2302" s="112">
        <v>990110</v>
      </c>
      <c r="B2302" s="110" t="s">
        <v>658</v>
      </c>
    </row>
    <row r="2303" spans="1:2" ht="25.5">
      <c r="A2303" s="112">
        <v>990200</v>
      </c>
      <c r="B2303" s="110" t="s">
        <v>659</v>
      </c>
    </row>
    <row r="2304" spans="1:2" ht="25.5">
      <c r="A2304" s="112">
        <v>990201</v>
      </c>
      <c r="B2304" s="110" t="s">
        <v>651</v>
      </c>
    </row>
    <row r="2305" spans="1:2">
      <c r="A2305" s="112">
        <v>990300</v>
      </c>
      <c r="B2305" s="110" t="s">
        <v>1788</v>
      </c>
    </row>
    <row r="2306" spans="1:2" ht="25.5">
      <c r="A2306" s="112">
        <v>990302</v>
      </c>
      <c r="B2306" s="110" t="s">
        <v>1789</v>
      </c>
    </row>
    <row r="2307" spans="1:2" ht="25.5">
      <c r="A2307" s="112">
        <v>990400</v>
      </c>
      <c r="B2307" s="110" t="s">
        <v>1790</v>
      </c>
    </row>
    <row r="2308" spans="1:2" ht="51">
      <c r="A2308" s="112">
        <v>990401</v>
      </c>
      <c r="B2308" s="111" t="s">
        <v>1791</v>
      </c>
    </row>
    <row r="2309" spans="1:2" ht="38.25">
      <c r="A2309" s="112">
        <v>990402</v>
      </c>
      <c r="B2309" s="111" t="s">
        <v>1792</v>
      </c>
    </row>
    <row r="2310" spans="1:2" ht="63.75">
      <c r="A2310" s="112">
        <v>990403</v>
      </c>
      <c r="B2310" s="111" t="s">
        <v>741</v>
      </c>
    </row>
    <row r="2311" spans="1:2" ht="38.25">
      <c r="A2311" s="112">
        <v>990404</v>
      </c>
      <c r="B2311" s="110" t="s">
        <v>742</v>
      </c>
    </row>
    <row r="2312" spans="1:2" ht="38.25">
      <c r="A2312" s="112">
        <v>990405</v>
      </c>
      <c r="B2312" s="110" t="s">
        <v>94</v>
      </c>
    </row>
    <row r="2313" spans="1:2" ht="25.5">
      <c r="A2313" s="112">
        <v>990407</v>
      </c>
      <c r="B2313" s="110" t="s">
        <v>95</v>
      </c>
    </row>
    <row r="2314" spans="1:2">
      <c r="A2314" s="112" t="s">
        <v>96</v>
      </c>
      <c r="B2314" s="110"/>
    </row>
    <row r="2315" spans="1:2">
      <c r="A2315" s="112">
        <v>990600</v>
      </c>
      <c r="B2315" s="110" t="s">
        <v>97</v>
      </c>
    </row>
    <row r="2316" spans="1:2" ht="38.25">
      <c r="A2316" s="112">
        <v>990601</v>
      </c>
      <c r="B2316" s="110" t="s">
        <v>98</v>
      </c>
    </row>
    <row r="2317" spans="1:2">
      <c r="A2317" s="112">
        <v>990700</v>
      </c>
      <c r="B2317" s="110" t="s">
        <v>99</v>
      </c>
    </row>
    <row r="2318" spans="1:2">
      <c r="A2318" s="112" t="s">
        <v>100</v>
      </c>
      <c r="B2318" s="110"/>
    </row>
    <row r="2319" spans="1:2">
      <c r="A2319" s="112">
        <v>990701</v>
      </c>
      <c r="B2319" s="110" t="s">
        <v>101</v>
      </c>
    </row>
    <row r="2320" spans="1:2">
      <c r="A2320" s="112" t="s">
        <v>102</v>
      </c>
      <c r="B2320" s="110"/>
    </row>
    <row r="2321" spans="1:2" ht="25.5">
      <c r="A2321" s="112">
        <v>990702</v>
      </c>
      <c r="B2321" s="110" t="s">
        <v>103</v>
      </c>
    </row>
    <row r="2322" spans="1:2">
      <c r="A2322" s="112">
        <v>990800</v>
      </c>
      <c r="B2322" s="110" t="s">
        <v>104</v>
      </c>
    </row>
    <row r="2323" spans="1:2">
      <c r="A2323" s="112">
        <v>990801</v>
      </c>
      <c r="B2323" s="110" t="s">
        <v>105</v>
      </c>
    </row>
    <row r="2324" spans="1:2">
      <c r="A2324" s="112">
        <v>1000000</v>
      </c>
      <c r="B2324" s="110" t="s">
        <v>790</v>
      </c>
    </row>
    <row r="2325" spans="1:2">
      <c r="A2325" s="112">
        <v>1000100</v>
      </c>
      <c r="B2325" s="110" t="s">
        <v>383</v>
      </c>
    </row>
    <row r="2326" spans="1:2">
      <c r="A2326" s="112">
        <v>1000101</v>
      </c>
      <c r="B2326" s="110" t="s">
        <v>384</v>
      </c>
    </row>
    <row r="2327" spans="1:2">
      <c r="A2327" s="112">
        <v>1000102</v>
      </c>
      <c r="B2327" s="110" t="s">
        <v>177</v>
      </c>
    </row>
    <row r="2328" spans="1:2">
      <c r="A2328" s="112">
        <v>1000103</v>
      </c>
      <c r="B2328" s="110" t="s">
        <v>884</v>
      </c>
    </row>
    <row r="2329" spans="1:2">
      <c r="A2329" s="112">
        <v>1000104</v>
      </c>
      <c r="B2329" s="110" t="s">
        <v>106</v>
      </c>
    </row>
    <row r="2330" spans="1:2">
      <c r="A2330" s="112">
        <v>1000105</v>
      </c>
      <c r="B2330" s="110" t="s">
        <v>885</v>
      </c>
    </row>
    <row r="2331" spans="1:2">
      <c r="A2331" s="112">
        <v>1000106</v>
      </c>
      <c r="B2331" s="110" t="s">
        <v>107</v>
      </c>
    </row>
    <row r="2332" spans="1:2">
      <c r="A2332" s="112">
        <v>1000107</v>
      </c>
      <c r="B2332" s="110" t="s">
        <v>886</v>
      </c>
    </row>
    <row r="2333" spans="1:2">
      <c r="A2333" s="112">
        <v>1000108</v>
      </c>
      <c r="B2333" s="110" t="s">
        <v>108</v>
      </c>
    </row>
    <row r="2334" spans="1:2">
      <c r="A2334" s="112">
        <v>1000109</v>
      </c>
      <c r="B2334" s="110" t="s">
        <v>109</v>
      </c>
    </row>
    <row r="2335" spans="1:2">
      <c r="A2335" s="112">
        <v>1000110</v>
      </c>
      <c r="B2335" s="110" t="s">
        <v>110</v>
      </c>
    </row>
    <row r="2336" spans="1:2" ht="25.5">
      <c r="A2336" s="112">
        <v>1000112</v>
      </c>
      <c r="B2336" s="110" t="s">
        <v>1085</v>
      </c>
    </row>
    <row r="2337" spans="1:2">
      <c r="A2337" s="112">
        <v>1000113</v>
      </c>
      <c r="B2337" s="110" t="s">
        <v>497</v>
      </c>
    </row>
    <row r="2338" spans="1:2">
      <c r="A2338" s="112">
        <v>1000200</v>
      </c>
      <c r="B2338" s="110" t="s">
        <v>111</v>
      </c>
    </row>
    <row r="2339" spans="1:2">
      <c r="A2339" s="112">
        <v>1000201</v>
      </c>
      <c r="B2339" s="110" t="s">
        <v>112</v>
      </c>
    </row>
    <row r="2340" spans="1:2">
      <c r="A2340" s="112">
        <v>1000202</v>
      </c>
      <c r="B2340" s="110" t="s">
        <v>113</v>
      </c>
    </row>
    <row r="2341" spans="1:2" ht="25.5">
      <c r="A2341" s="112">
        <v>1000203</v>
      </c>
      <c r="B2341" s="110" t="s">
        <v>2001</v>
      </c>
    </row>
    <row r="2342" spans="1:2">
      <c r="A2342" s="112">
        <v>1000204</v>
      </c>
      <c r="B2342" s="110" t="s">
        <v>114</v>
      </c>
    </row>
    <row r="2343" spans="1:2">
      <c r="A2343" s="112">
        <v>1000300</v>
      </c>
      <c r="B2343" s="110" t="s">
        <v>115</v>
      </c>
    </row>
    <row r="2344" spans="1:2" ht="25.5">
      <c r="A2344" s="112">
        <v>1000400</v>
      </c>
      <c r="B2344" s="110" t="s">
        <v>116</v>
      </c>
    </row>
    <row r="2345" spans="1:2">
      <c r="A2345" s="112">
        <v>1000500</v>
      </c>
      <c r="B2345" s="110" t="s">
        <v>393</v>
      </c>
    </row>
    <row r="2346" spans="1:2">
      <c r="A2346" s="112">
        <v>1000502</v>
      </c>
      <c r="B2346" s="110" t="s">
        <v>831</v>
      </c>
    </row>
    <row r="2347" spans="1:2">
      <c r="A2347" s="112">
        <v>1000503</v>
      </c>
      <c r="B2347" s="110" t="s">
        <v>300</v>
      </c>
    </row>
    <row r="2348" spans="1:2">
      <c r="A2348" s="112">
        <v>1000505</v>
      </c>
      <c r="B2348" s="110" t="s">
        <v>117</v>
      </c>
    </row>
    <row r="2349" spans="1:2">
      <c r="A2349" s="112">
        <v>1000506</v>
      </c>
      <c r="B2349" s="110" t="s">
        <v>118</v>
      </c>
    </row>
    <row r="2350" spans="1:2">
      <c r="A2350" s="112">
        <v>1000507</v>
      </c>
      <c r="B2350" s="110" t="s">
        <v>301</v>
      </c>
    </row>
    <row r="2351" spans="1:2">
      <c r="A2351" s="112">
        <v>1000509</v>
      </c>
      <c r="B2351" s="110" t="s">
        <v>302</v>
      </c>
    </row>
    <row r="2352" spans="1:2">
      <c r="A2352" s="112">
        <v>1000510</v>
      </c>
      <c r="B2352" s="110" t="s">
        <v>119</v>
      </c>
    </row>
    <row r="2353" spans="1:2">
      <c r="A2353" s="112">
        <v>1000512</v>
      </c>
      <c r="B2353" s="110" t="s">
        <v>120</v>
      </c>
    </row>
    <row r="2354" spans="1:2">
      <c r="A2354" s="112">
        <v>1000600</v>
      </c>
      <c r="B2354" s="110" t="s">
        <v>761</v>
      </c>
    </row>
    <row r="2355" spans="1:2">
      <c r="A2355" s="112">
        <v>1000700</v>
      </c>
      <c r="B2355" s="110" t="s">
        <v>960</v>
      </c>
    </row>
    <row r="2356" spans="1:2">
      <c r="A2356" s="112">
        <v>1000701</v>
      </c>
      <c r="B2356" s="110" t="s">
        <v>501</v>
      </c>
    </row>
    <row r="2357" spans="1:2" ht="25.5">
      <c r="A2357" s="112">
        <v>1000702</v>
      </c>
      <c r="B2357" s="110" t="s">
        <v>762</v>
      </c>
    </row>
    <row r="2358" spans="1:2" ht="25.5">
      <c r="A2358" s="112">
        <v>1000900</v>
      </c>
      <c r="B2358" s="110" t="s">
        <v>1442</v>
      </c>
    </row>
    <row r="2359" spans="1:2">
      <c r="A2359" s="112">
        <v>1001000</v>
      </c>
      <c r="B2359" s="110" t="s">
        <v>763</v>
      </c>
    </row>
    <row r="2360" spans="1:2" ht="25.5">
      <c r="A2360" s="112">
        <v>1001100</v>
      </c>
      <c r="B2360" s="110" t="s">
        <v>2057</v>
      </c>
    </row>
    <row r="2361" spans="1:2" ht="25.5">
      <c r="A2361" s="112">
        <v>1001102</v>
      </c>
      <c r="B2361" s="110" t="s">
        <v>2128</v>
      </c>
    </row>
    <row r="2362" spans="1:2" ht="25.5">
      <c r="A2362" s="112">
        <v>1001122</v>
      </c>
      <c r="B2362" s="110" t="s">
        <v>2127</v>
      </c>
    </row>
    <row r="2363" spans="1:2">
      <c r="A2363" s="112">
        <v>1001199</v>
      </c>
      <c r="B2363" s="110" t="s">
        <v>2141</v>
      </c>
    </row>
    <row r="2364" spans="1:2">
      <c r="A2364" s="112">
        <v>1001200</v>
      </c>
      <c r="B2364" s="110" t="s">
        <v>2002</v>
      </c>
    </row>
    <row r="2365" spans="1:2">
      <c r="A2365" s="112">
        <v>1001202</v>
      </c>
      <c r="B2365" s="110" t="s">
        <v>2003</v>
      </c>
    </row>
    <row r="2366" spans="1:2">
      <c r="A2366" s="112">
        <v>1001300</v>
      </c>
      <c r="B2366" s="110" t="s">
        <v>664</v>
      </c>
    </row>
    <row r="2367" spans="1:2">
      <c r="A2367" s="112">
        <v>1001301</v>
      </c>
      <c r="B2367" s="110" t="s">
        <v>665</v>
      </c>
    </row>
    <row r="2368" spans="1:2">
      <c r="A2368" s="112">
        <v>1001302</v>
      </c>
      <c r="B2368" s="110" t="s">
        <v>666</v>
      </c>
    </row>
    <row r="2369" spans="1:2">
      <c r="A2369" s="112">
        <v>1001303</v>
      </c>
      <c r="B2369" s="110" t="s">
        <v>1476</v>
      </c>
    </row>
    <row r="2370" spans="1:2">
      <c r="A2370" s="112">
        <v>1001400</v>
      </c>
      <c r="B2370" s="110" t="s">
        <v>1323</v>
      </c>
    </row>
    <row r="2371" spans="1:2" ht="25.5">
      <c r="A2371" s="112">
        <v>1001401</v>
      </c>
      <c r="B2371" s="110" t="s">
        <v>1320</v>
      </c>
    </row>
    <row r="2372" spans="1:2">
      <c r="A2372" s="112">
        <v>1001402</v>
      </c>
      <c r="B2372" s="110" t="s">
        <v>1321</v>
      </c>
    </row>
    <row r="2373" spans="1:2">
      <c r="A2373" s="112">
        <v>1001500</v>
      </c>
      <c r="B2373" s="110" t="s">
        <v>1322</v>
      </c>
    </row>
    <row r="2374" spans="1:2">
      <c r="A2374" s="112">
        <v>1001600</v>
      </c>
      <c r="B2374" s="110" t="s">
        <v>969</v>
      </c>
    </row>
    <row r="2375" spans="1:2">
      <c r="A2375" s="112">
        <v>1001700</v>
      </c>
      <c r="B2375" s="110" t="s">
        <v>1819</v>
      </c>
    </row>
    <row r="2376" spans="1:2" ht="25.5">
      <c r="A2376" s="112">
        <v>1001800</v>
      </c>
      <c r="B2376" s="110" t="s">
        <v>293</v>
      </c>
    </row>
    <row r="2377" spans="1:2">
      <c r="A2377" s="112">
        <v>1001900</v>
      </c>
      <c r="B2377" s="110" t="s">
        <v>1820</v>
      </c>
    </row>
    <row r="2378" spans="1:2" ht="25.5">
      <c r="A2378" s="112">
        <v>1001901</v>
      </c>
      <c r="B2378" s="110" t="s">
        <v>1821</v>
      </c>
    </row>
    <row r="2379" spans="1:2" ht="25.5">
      <c r="A2379" s="112">
        <v>1001902</v>
      </c>
      <c r="B2379" s="110" t="s">
        <v>1557</v>
      </c>
    </row>
    <row r="2380" spans="1:2">
      <c r="A2380" s="112">
        <v>1002000</v>
      </c>
      <c r="B2380" s="110" t="s">
        <v>1558</v>
      </c>
    </row>
    <row r="2381" spans="1:2" ht="25.5">
      <c r="A2381" s="112">
        <v>1002100</v>
      </c>
      <c r="B2381" s="110" t="s">
        <v>481</v>
      </c>
    </row>
    <row r="2382" spans="1:2">
      <c r="A2382" s="112">
        <v>1002200</v>
      </c>
      <c r="B2382" s="110" t="s">
        <v>1559</v>
      </c>
    </row>
    <row r="2383" spans="1:2">
      <c r="A2383" s="112">
        <v>1002201</v>
      </c>
      <c r="B2383" s="110" t="s">
        <v>1560</v>
      </c>
    </row>
    <row r="2384" spans="1:2">
      <c r="A2384" s="112">
        <v>1002203</v>
      </c>
      <c r="B2384" s="110" t="s">
        <v>1561</v>
      </c>
    </row>
    <row r="2385" spans="1:2">
      <c r="A2385" s="112">
        <v>1002204</v>
      </c>
      <c r="B2385" s="110" t="s">
        <v>1562</v>
      </c>
    </row>
    <row r="2386" spans="1:2">
      <c r="A2386" s="112">
        <v>1002208</v>
      </c>
      <c r="B2386" s="110" t="s">
        <v>1563</v>
      </c>
    </row>
    <row r="2387" spans="1:2">
      <c r="A2387" s="112">
        <v>1002209</v>
      </c>
      <c r="B2387" s="110" t="s">
        <v>1564</v>
      </c>
    </row>
    <row r="2388" spans="1:2" ht="25.5">
      <c r="A2388" s="112">
        <v>1002211</v>
      </c>
      <c r="B2388" s="110" t="s">
        <v>1565</v>
      </c>
    </row>
    <row r="2389" spans="1:2" ht="25.5">
      <c r="A2389" s="112">
        <v>1002300</v>
      </c>
      <c r="B2389" s="110" t="s">
        <v>1566</v>
      </c>
    </row>
    <row r="2390" spans="1:2">
      <c r="A2390" s="112">
        <v>1002301</v>
      </c>
      <c r="B2390" s="110" t="s">
        <v>1262</v>
      </c>
    </row>
    <row r="2391" spans="1:2">
      <c r="A2391" s="112">
        <v>1002302</v>
      </c>
      <c r="B2391" s="110" t="s">
        <v>1263</v>
      </c>
    </row>
    <row r="2392" spans="1:2">
      <c r="A2392" s="112">
        <v>1002303</v>
      </c>
      <c r="B2392" s="110" t="s">
        <v>288</v>
      </c>
    </row>
    <row r="2393" spans="1:2">
      <c r="A2393" s="112">
        <v>1002304</v>
      </c>
      <c r="B2393" s="110" t="s">
        <v>1587</v>
      </c>
    </row>
    <row r="2394" spans="1:2">
      <c r="A2394" s="112">
        <v>1002305</v>
      </c>
      <c r="B2394" s="110" t="s">
        <v>889</v>
      </c>
    </row>
    <row r="2395" spans="1:2">
      <c r="A2395" s="112">
        <v>1002306</v>
      </c>
      <c r="B2395" s="110" t="s">
        <v>890</v>
      </c>
    </row>
    <row r="2396" spans="1:2">
      <c r="A2396" s="112">
        <v>1002307</v>
      </c>
      <c r="B2396" s="110" t="s">
        <v>221</v>
      </c>
    </row>
    <row r="2397" spans="1:2">
      <c r="A2397" s="112">
        <v>1002308</v>
      </c>
      <c r="B2397" s="110" t="s">
        <v>722</v>
      </c>
    </row>
    <row r="2398" spans="1:2">
      <c r="A2398" s="112">
        <v>1002309</v>
      </c>
      <c r="B2398" s="110" t="s">
        <v>1849</v>
      </c>
    </row>
    <row r="2399" spans="1:2" ht="25.5">
      <c r="A2399" s="112">
        <v>1002500</v>
      </c>
      <c r="B2399" s="110" t="s">
        <v>1615</v>
      </c>
    </row>
    <row r="2400" spans="1:2" ht="25.5">
      <c r="A2400" s="112">
        <v>1002601</v>
      </c>
      <c r="B2400" s="110" t="s">
        <v>1567</v>
      </c>
    </row>
    <row r="2401" spans="1:2">
      <c r="A2401" s="112">
        <v>1002602</v>
      </c>
      <c r="B2401" s="110" t="s">
        <v>1568</v>
      </c>
    </row>
    <row r="2402" spans="1:2">
      <c r="A2402" s="112">
        <v>1002603</v>
      </c>
      <c r="B2402" s="110" t="s">
        <v>1569</v>
      </c>
    </row>
    <row r="2403" spans="1:2" ht="25.5">
      <c r="A2403" s="112">
        <v>1002604</v>
      </c>
      <c r="B2403" s="110" t="s">
        <v>1570</v>
      </c>
    </row>
    <row r="2404" spans="1:2">
      <c r="A2404" s="112">
        <v>1002605</v>
      </c>
      <c r="B2404" s="110" t="s">
        <v>1571</v>
      </c>
    </row>
    <row r="2405" spans="1:2" ht="25.5">
      <c r="A2405" s="112">
        <v>1002606</v>
      </c>
      <c r="B2405" s="110" t="s">
        <v>1572</v>
      </c>
    </row>
    <row r="2406" spans="1:2">
      <c r="A2406" s="112">
        <v>1002607</v>
      </c>
      <c r="B2406" s="110" t="s">
        <v>1573</v>
      </c>
    </row>
    <row r="2407" spans="1:2">
      <c r="A2407" s="112">
        <v>1002608</v>
      </c>
      <c r="B2407" s="110" t="s">
        <v>1574</v>
      </c>
    </row>
    <row r="2408" spans="1:2" ht="25.5">
      <c r="A2408" s="112">
        <v>1002609</v>
      </c>
      <c r="B2408" s="110" t="s">
        <v>1575</v>
      </c>
    </row>
    <row r="2409" spans="1:2" ht="25.5">
      <c r="A2409" s="112">
        <v>1002610</v>
      </c>
      <c r="B2409" s="110" t="s">
        <v>1822</v>
      </c>
    </row>
    <row r="2410" spans="1:2" ht="25.5">
      <c r="A2410" s="112">
        <v>1002611</v>
      </c>
      <c r="B2410" s="110" t="s">
        <v>1823</v>
      </c>
    </row>
    <row r="2411" spans="1:2" ht="25.5">
      <c r="A2411" s="112">
        <v>1002612</v>
      </c>
      <c r="B2411" s="110" t="s">
        <v>1824</v>
      </c>
    </row>
    <row r="2412" spans="1:2" ht="25.5">
      <c r="A2412" s="112">
        <v>1002613</v>
      </c>
      <c r="B2412" s="110" t="s">
        <v>1825</v>
      </c>
    </row>
    <row r="2413" spans="1:2" ht="25.5">
      <c r="A2413" s="112">
        <v>1002614</v>
      </c>
      <c r="B2413" s="110" t="s">
        <v>1826</v>
      </c>
    </row>
    <row r="2414" spans="1:2" ht="25.5">
      <c r="A2414" s="112">
        <v>1002615</v>
      </c>
      <c r="B2414" s="110" t="s">
        <v>1827</v>
      </c>
    </row>
    <row r="2415" spans="1:2" ht="25.5">
      <c r="A2415" s="112">
        <v>1002616</v>
      </c>
      <c r="B2415" s="110" t="s">
        <v>1828</v>
      </c>
    </row>
    <row r="2416" spans="1:2">
      <c r="A2416" s="112">
        <v>1002617</v>
      </c>
      <c r="B2416" s="110" t="s">
        <v>1829</v>
      </c>
    </row>
    <row r="2417" spans="1:2">
      <c r="A2417" s="112">
        <v>1002618</v>
      </c>
      <c r="B2417" s="110" t="s">
        <v>1830</v>
      </c>
    </row>
    <row r="2418" spans="1:2" ht="25.5">
      <c r="A2418" s="112">
        <v>1002619</v>
      </c>
      <c r="B2418" s="110" t="s">
        <v>1831</v>
      </c>
    </row>
    <row r="2419" spans="1:2" ht="25.5">
      <c r="A2419" s="112">
        <v>1002620</v>
      </c>
      <c r="B2419" s="110" t="s">
        <v>1832</v>
      </c>
    </row>
    <row r="2420" spans="1:2">
      <c r="A2420" s="112">
        <v>1002800</v>
      </c>
      <c r="B2420" s="110" t="s">
        <v>1833</v>
      </c>
    </row>
    <row r="2421" spans="1:2">
      <c r="A2421" s="112">
        <v>1002900</v>
      </c>
      <c r="B2421" s="110" t="s">
        <v>1184</v>
      </c>
    </row>
    <row r="2422" spans="1:2" ht="25.5">
      <c r="A2422" s="112">
        <v>1003000</v>
      </c>
      <c r="B2422" s="110" t="s">
        <v>643</v>
      </c>
    </row>
    <row r="2423" spans="1:2">
      <c r="A2423" s="112">
        <v>1003200</v>
      </c>
      <c r="B2423" s="110" t="s">
        <v>332</v>
      </c>
    </row>
    <row r="2424" spans="1:2">
      <c r="A2424" s="112">
        <v>1003300</v>
      </c>
      <c r="B2424" s="110" t="s">
        <v>1834</v>
      </c>
    </row>
    <row r="2425" spans="1:2">
      <c r="A2425" s="112">
        <v>1003400</v>
      </c>
      <c r="B2425" s="110" t="s">
        <v>232</v>
      </c>
    </row>
    <row r="2426" spans="1:2" ht="25.5">
      <c r="A2426" s="112">
        <v>1003500</v>
      </c>
      <c r="B2426" s="110" t="s">
        <v>1835</v>
      </c>
    </row>
    <row r="2427" spans="1:2" ht="25.5">
      <c r="A2427" s="112">
        <v>1003501</v>
      </c>
      <c r="B2427" s="110" t="s">
        <v>340</v>
      </c>
    </row>
    <row r="2428" spans="1:2" ht="25.5">
      <c r="A2428" s="112">
        <v>1003502</v>
      </c>
      <c r="B2428" s="110" t="s">
        <v>1258</v>
      </c>
    </row>
    <row r="2429" spans="1:2">
      <c r="A2429" s="112">
        <v>1003503</v>
      </c>
      <c r="B2429" s="110" t="s">
        <v>1836</v>
      </c>
    </row>
    <row r="2430" spans="1:2" ht="25.5">
      <c r="A2430" s="112">
        <v>1003504</v>
      </c>
      <c r="B2430" s="110" t="s">
        <v>1837</v>
      </c>
    </row>
    <row r="2431" spans="1:2">
      <c r="A2431" s="112">
        <v>1003600</v>
      </c>
      <c r="B2431" s="110" t="s">
        <v>791</v>
      </c>
    </row>
    <row r="2432" spans="1:2">
      <c r="A2432" s="112">
        <v>1003601</v>
      </c>
      <c r="B2432" s="110" t="s">
        <v>827</v>
      </c>
    </row>
    <row r="2433" spans="1:2" ht="25.5">
      <c r="A2433" s="112">
        <v>1003602</v>
      </c>
      <c r="B2433" s="110" t="s">
        <v>638</v>
      </c>
    </row>
    <row r="2434" spans="1:2">
      <c r="A2434" s="112">
        <v>1003603</v>
      </c>
      <c r="B2434" s="110" t="s">
        <v>76</v>
      </c>
    </row>
    <row r="2435" spans="1:2">
      <c r="A2435" s="112">
        <v>1003604</v>
      </c>
      <c r="B2435" s="110" t="s">
        <v>254</v>
      </c>
    </row>
    <row r="2436" spans="1:2">
      <c r="A2436" s="112">
        <v>1003605</v>
      </c>
      <c r="B2436" s="110" t="s">
        <v>1589</v>
      </c>
    </row>
    <row r="2437" spans="1:2">
      <c r="A2437" s="112">
        <v>1003700</v>
      </c>
      <c r="B2437" s="110" t="s">
        <v>188</v>
      </c>
    </row>
    <row r="2438" spans="1:2">
      <c r="A2438" s="112">
        <v>1003701</v>
      </c>
      <c r="B2438" s="110" t="s">
        <v>1838</v>
      </c>
    </row>
    <row r="2439" spans="1:2" ht="25.5">
      <c r="A2439" s="112">
        <v>1003702</v>
      </c>
      <c r="B2439" s="110" t="s">
        <v>840</v>
      </c>
    </row>
    <row r="2440" spans="1:2" ht="25.5">
      <c r="A2440" s="112">
        <v>1003703</v>
      </c>
      <c r="B2440" s="110" t="s">
        <v>841</v>
      </c>
    </row>
    <row r="2441" spans="1:2">
      <c r="A2441" s="112">
        <v>1003704</v>
      </c>
      <c r="B2441" s="110" t="s">
        <v>842</v>
      </c>
    </row>
    <row r="2442" spans="1:2" ht="25.5">
      <c r="A2442" s="112">
        <v>1003800</v>
      </c>
      <c r="B2442" s="110" t="s">
        <v>557</v>
      </c>
    </row>
    <row r="2443" spans="1:2" ht="25.5">
      <c r="A2443" s="112">
        <v>1003900</v>
      </c>
      <c r="B2443" s="110" t="s">
        <v>93</v>
      </c>
    </row>
    <row r="2444" spans="1:2" ht="25.5">
      <c r="A2444" s="112">
        <v>1003901</v>
      </c>
      <c r="B2444" s="110" t="s">
        <v>1025</v>
      </c>
    </row>
    <row r="2445" spans="1:2" ht="25.5">
      <c r="A2445" s="112">
        <v>1003902</v>
      </c>
      <c r="B2445" s="110" t="s">
        <v>193</v>
      </c>
    </row>
    <row r="2446" spans="1:2" ht="25.5">
      <c r="A2446" s="112">
        <v>1004000</v>
      </c>
      <c r="B2446" s="110" t="s">
        <v>194</v>
      </c>
    </row>
    <row r="2447" spans="1:2">
      <c r="A2447" s="112">
        <v>1004100</v>
      </c>
      <c r="B2447" s="110" t="s">
        <v>843</v>
      </c>
    </row>
    <row r="2448" spans="1:2">
      <c r="A2448" s="112">
        <v>1004200</v>
      </c>
      <c r="B2448" s="110" t="s">
        <v>844</v>
      </c>
    </row>
    <row r="2449" spans="1:2">
      <c r="A2449" s="112">
        <v>1004400</v>
      </c>
      <c r="B2449" s="110" t="s">
        <v>964</v>
      </c>
    </row>
    <row r="2450" spans="1:2">
      <c r="A2450" s="112">
        <v>1004500</v>
      </c>
      <c r="B2450" s="110" t="s">
        <v>845</v>
      </c>
    </row>
    <row r="2451" spans="1:2" ht="25.5">
      <c r="A2451" s="112">
        <v>1004600</v>
      </c>
      <c r="B2451" s="110" t="s">
        <v>1724</v>
      </c>
    </row>
    <row r="2452" spans="1:2">
      <c r="A2452" s="112">
        <v>1004601</v>
      </c>
      <c r="B2452" s="110" t="s">
        <v>846</v>
      </c>
    </row>
    <row r="2453" spans="1:2">
      <c r="A2453" s="112">
        <v>1004602</v>
      </c>
      <c r="B2453" s="110" t="s">
        <v>847</v>
      </c>
    </row>
    <row r="2454" spans="1:2" ht="25.5">
      <c r="A2454" s="112">
        <v>1004700</v>
      </c>
      <c r="B2454" s="110" t="s">
        <v>305</v>
      </c>
    </row>
    <row r="2455" spans="1:2">
      <c r="A2455" s="112">
        <v>1004800</v>
      </c>
      <c r="B2455" s="110" t="s">
        <v>848</v>
      </c>
    </row>
    <row r="2456" spans="1:2">
      <c r="A2456" s="112">
        <v>1004901</v>
      </c>
      <c r="B2456" s="110" t="s">
        <v>849</v>
      </c>
    </row>
    <row r="2457" spans="1:2" ht="25.5">
      <c r="A2457" s="112">
        <v>1005000</v>
      </c>
      <c r="B2457" s="110" t="s">
        <v>396</v>
      </c>
    </row>
    <row r="2458" spans="1:2">
      <c r="A2458" s="112">
        <v>1005200</v>
      </c>
      <c r="B2458" s="110" t="s">
        <v>451</v>
      </c>
    </row>
    <row r="2459" spans="1:2" ht="25.5">
      <c r="A2459" s="112">
        <v>1005300</v>
      </c>
      <c r="B2459" s="110" t="s">
        <v>31</v>
      </c>
    </row>
    <row r="2460" spans="1:2">
      <c r="A2460" s="112">
        <v>1005400</v>
      </c>
      <c r="B2460" s="110" t="s">
        <v>1198</v>
      </c>
    </row>
    <row r="2461" spans="1:2" ht="38.25">
      <c r="A2461" s="112">
        <v>1005401</v>
      </c>
      <c r="B2461" s="110" t="s">
        <v>225</v>
      </c>
    </row>
    <row r="2462" spans="1:2">
      <c r="A2462" s="112">
        <v>1005402</v>
      </c>
      <c r="B2462" s="110" t="s">
        <v>812</v>
      </c>
    </row>
    <row r="2463" spans="1:2" ht="25.5">
      <c r="A2463" s="112">
        <v>1005403</v>
      </c>
      <c r="B2463" s="110" t="s">
        <v>351</v>
      </c>
    </row>
    <row r="2464" spans="1:2" ht="25.5">
      <c r="A2464" s="112">
        <v>1005500</v>
      </c>
      <c r="B2464" s="110" t="s">
        <v>850</v>
      </c>
    </row>
    <row r="2465" spans="1:2" ht="25.5">
      <c r="A2465" s="112">
        <v>1005600</v>
      </c>
      <c r="B2465" s="110" t="s">
        <v>851</v>
      </c>
    </row>
    <row r="2466" spans="1:2">
      <c r="A2466" s="112">
        <v>1005700</v>
      </c>
      <c r="B2466" s="110" t="s">
        <v>1616</v>
      </c>
    </row>
    <row r="2467" spans="1:2">
      <c r="A2467" s="112">
        <v>1005701</v>
      </c>
      <c r="B2467" s="110" t="s">
        <v>852</v>
      </c>
    </row>
    <row r="2468" spans="1:2">
      <c r="A2468" s="112">
        <v>1005702</v>
      </c>
      <c r="B2468" s="110" t="s">
        <v>853</v>
      </c>
    </row>
    <row r="2469" spans="1:2">
      <c r="A2469" s="112">
        <v>1005800</v>
      </c>
      <c r="B2469" s="110" t="s">
        <v>792</v>
      </c>
    </row>
    <row r="2470" spans="1:2">
      <c r="A2470" s="112">
        <v>1005801</v>
      </c>
      <c r="B2470" s="110" t="s">
        <v>854</v>
      </c>
    </row>
    <row r="2471" spans="1:2" ht="25.5">
      <c r="A2471" s="112">
        <v>1005802</v>
      </c>
      <c r="B2471" s="110" t="s">
        <v>855</v>
      </c>
    </row>
    <row r="2472" spans="1:2">
      <c r="A2472" s="112">
        <v>1005900</v>
      </c>
      <c r="B2472" s="110" t="s">
        <v>1552</v>
      </c>
    </row>
    <row r="2473" spans="1:2" ht="25.5">
      <c r="A2473" s="112">
        <v>1006000</v>
      </c>
      <c r="B2473" s="110" t="s">
        <v>1863</v>
      </c>
    </row>
    <row r="2474" spans="1:2" ht="25.5">
      <c r="A2474" s="112">
        <v>1006100</v>
      </c>
      <c r="B2474" s="110" t="s">
        <v>56</v>
      </c>
    </row>
    <row r="2475" spans="1:2">
      <c r="A2475" s="112">
        <v>1006200</v>
      </c>
      <c r="B2475" s="110" t="s">
        <v>898</v>
      </c>
    </row>
    <row r="2476" spans="1:2" ht="25.5">
      <c r="A2476" s="112">
        <v>1006300</v>
      </c>
      <c r="B2476" s="110" t="s">
        <v>856</v>
      </c>
    </row>
    <row r="2477" spans="1:2" ht="25.5">
      <c r="A2477" s="112">
        <v>1006400</v>
      </c>
      <c r="B2477" s="110" t="s">
        <v>662</v>
      </c>
    </row>
    <row r="2478" spans="1:2">
      <c r="A2478" s="112">
        <v>1006500</v>
      </c>
      <c r="B2478" s="110" t="s">
        <v>663</v>
      </c>
    </row>
    <row r="2479" spans="1:2">
      <c r="A2479" s="112">
        <v>1006600</v>
      </c>
      <c r="B2479" s="110" t="s">
        <v>857</v>
      </c>
    </row>
    <row r="2480" spans="1:2" ht="25.5">
      <c r="A2480" s="112">
        <v>1006700</v>
      </c>
      <c r="B2480" s="110" t="s">
        <v>1333</v>
      </c>
    </row>
    <row r="2481" spans="1:2">
      <c r="A2481" s="112">
        <v>1006800</v>
      </c>
      <c r="B2481" s="110" t="s">
        <v>1334</v>
      </c>
    </row>
    <row r="2482" spans="1:2" ht="25.5">
      <c r="A2482" s="112">
        <v>1006900</v>
      </c>
      <c r="B2482" s="110" t="s">
        <v>1796</v>
      </c>
    </row>
    <row r="2483" spans="1:2">
      <c r="A2483" s="112">
        <v>1007000</v>
      </c>
      <c r="B2483" s="110" t="s">
        <v>784</v>
      </c>
    </row>
    <row r="2484" spans="1:2" ht="25.5">
      <c r="A2484" s="112">
        <v>1007100</v>
      </c>
      <c r="B2484" s="110" t="s">
        <v>82</v>
      </c>
    </row>
    <row r="2485" spans="1:2">
      <c r="A2485" s="112">
        <v>1007200</v>
      </c>
      <c r="B2485" s="110" t="s">
        <v>1388</v>
      </c>
    </row>
    <row r="2486" spans="1:2">
      <c r="A2486" s="112">
        <v>1007300</v>
      </c>
      <c r="B2486" s="110" t="s">
        <v>1389</v>
      </c>
    </row>
    <row r="2487" spans="1:2">
      <c r="A2487" s="112">
        <v>1007400</v>
      </c>
      <c r="B2487" s="110" t="s">
        <v>1385</v>
      </c>
    </row>
    <row r="2488" spans="1:2" ht="25.5">
      <c r="A2488" s="112">
        <v>1007500</v>
      </c>
      <c r="B2488" s="110" t="s">
        <v>1386</v>
      </c>
    </row>
    <row r="2489" spans="1:2" ht="25.5">
      <c r="A2489" s="112">
        <v>1007600</v>
      </c>
      <c r="B2489" s="110" t="s">
        <v>1387</v>
      </c>
    </row>
    <row r="2490" spans="1:2">
      <c r="A2490" s="112">
        <v>1007700</v>
      </c>
      <c r="B2490" s="110" t="s">
        <v>1875</v>
      </c>
    </row>
    <row r="2491" spans="1:2" ht="25.5">
      <c r="A2491" s="112">
        <v>1007800</v>
      </c>
      <c r="B2491" s="110" t="s">
        <v>1876</v>
      </c>
    </row>
    <row r="2492" spans="1:2" ht="38.25">
      <c r="A2492" s="112">
        <v>1007900</v>
      </c>
      <c r="B2492" s="110" t="s">
        <v>1877</v>
      </c>
    </row>
    <row r="2493" spans="1:2" ht="63.75">
      <c r="A2493" s="112">
        <v>1008000</v>
      </c>
      <c r="B2493" s="111" t="s">
        <v>1878</v>
      </c>
    </row>
    <row r="2494" spans="1:2">
      <c r="A2494" s="112">
        <v>1008100</v>
      </c>
      <c r="B2494" s="110" t="s">
        <v>1879</v>
      </c>
    </row>
    <row r="2495" spans="1:2">
      <c r="A2495" s="112">
        <v>1008101</v>
      </c>
      <c r="B2495" s="110" t="s">
        <v>1880</v>
      </c>
    </row>
    <row r="2496" spans="1:2">
      <c r="A2496" s="112">
        <v>1008102</v>
      </c>
      <c r="B2496" s="110" t="s">
        <v>384</v>
      </c>
    </row>
    <row r="2497" spans="1:2">
      <c r="A2497" s="112">
        <v>1008103</v>
      </c>
      <c r="B2497" s="110" t="s">
        <v>177</v>
      </c>
    </row>
    <row r="2498" spans="1:2">
      <c r="A2498" s="112">
        <v>1008104</v>
      </c>
      <c r="B2498" s="110" t="s">
        <v>885</v>
      </c>
    </row>
    <row r="2499" spans="1:2">
      <c r="A2499" s="112">
        <v>1008105</v>
      </c>
      <c r="B2499" s="110" t="s">
        <v>1881</v>
      </c>
    </row>
    <row r="2500" spans="1:2">
      <c r="A2500" s="112">
        <v>1008106</v>
      </c>
      <c r="B2500" s="110" t="s">
        <v>884</v>
      </c>
    </row>
    <row r="2501" spans="1:2" ht="25.5">
      <c r="A2501" s="112">
        <v>1008107</v>
      </c>
      <c r="B2501" s="110" t="s">
        <v>1882</v>
      </c>
    </row>
    <row r="2502" spans="1:2" ht="25.5">
      <c r="A2502" s="112">
        <v>1008200</v>
      </c>
      <c r="B2502" s="110" t="s">
        <v>1883</v>
      </c>
    </row>
    <row r="2503" spans="1:2" ht="25.5">
      <c r="A2503" s="112">
        <v>1008300</v>
      </c>
      <c r="B2503" s="110" t="s">
        <v>1884</v>
      </c>
    </row>
    <row r="2504" spans="1:2">
      <c r="A2504" s="112">
        <v>1008400</v>
      </c>
      <c r="B2504" s="110" t="s">
        <v>1885</v>
      </c>
    </row>
    <row r="2505" spans="1:2">
      <c r="A2505" s="112">
        <v>1008500</v>
      </c>
      <c r="B2505" s="110" t="s">
        <v>1886</v>
      </c>
    </row>
    <row r="2506" spans="1:2">
      <c r="A2506" s="112">
        <v>1008600</v>
      </c>
      <c r="B2506" s="110" t="s">
        <v>1399</v>
      </c>
    </row>
    <row r="2507" spans="1:2" ht="25.5">
      <c r="A2507" s="112">
        <v>1008700</v>
      </c>
      <c r="B2507" s="110" t="s">
        <v>1400</v>
      </c>
    </row>
    <row r="2508" spans="1:2">
      <c r="A2508" s="112">
        <v>1008800</v>
      </c>
      <c r="B2508" s="110" t="s">
        <v>1401</v>
      </c>
    </row>
    <row r="2509" spans="1:2" ht="25.5">
      <c r="A2509" s="112">
        <v>1008810</v>
      </c>
      <c r="B2509" s="110" t="s">
        <v>1402</v>
      </c>
    </row>
    <row r="2510" spans="1:2">
      <c r="A2510" s="112">
        <v>1008811</v>
      </c>
      <c r="B2510" s="110" t="s">
        <v>529</v>
      </c>
    </row>
    <row r="2511" spans="1:2" ht="25.5">
      <c r="A2511" s="112">
        <v>1008812</v>
      </c>
      <c r="B2511" s="110" t="s">
        <v>1138</v>
      </c>
    </row>
    <row r="2512" spans="1:2">
      <c r="A2512" s="112">
        <v>1008813</v>
      </c>
      <c r="B2512" s="110" t="s">
        <v>822</v>
      </c>
    </row>
    <row r="2513" spans="1:2" ht="25.5">
      <c r="A2513" s="112">
        <v>1008814</v>
      </c>
      <c r="B2513" s="110" t="s">
        <v>1403</v>
      </c>
    </row>
    <row r="2514" spans="1:2">
      <c r="A2514" s="112">
        <v>1008815</v>
      </c>
      <c r="B2514" s="110" t="s">
        <v>1474</v>
      </c>
    </row>
    <row r="2515" spans="1:2">
      <c r="A2515" s="112">
        <v>1008816</v>
      </c>
      <c r="B2515" s="110" t="s">
        <v>1745</v>
      </c>
    </row>
    <row r="2516" spans="1:2">
      <c r="A2516" s="112">
        <v>1008821</v>
      </c>
      <c r="B2516" s="110" t="s">
        <v>2004</v>
      </c>
    </row>
    <row r="2517" spans="1:2">
      <c r="A2517" s="112">
        <v>1008822</v>
      </c>
      <c r="B2517" s="110" t="s">
        <v>2140</v>
      </c>
    </row>
    <row r="2518" spans="1:2">
      <c r="A2518" s="112">
        <v>1008830</v>
      </c>
      <c r="B2518" s="110" t="s">
        <v>1404</v>
      </c>
    </row>
    <row r="2519" spans="1:2">
      <c r="A2519" s="112">
        <v>1008840</v>
      </c>
      <c r="B2519" s="110" t="s">
        <v>1748</v>
      </c>
    </row>
    <row r="2520" spans="1:2">
      <c r="A2520" s="112">
        <v>1008850</v>
      </c>
      <c r="B2520" s="110" t="s">
        <v>1136</v>
      </c>
    </row>
    <row r="2521" spans="1:2">
      <c r="A2521" s="112">
        <v>1008851</v>
      </c>
      <c r="B2521" s="110" t="s">
        <v>355</v>
      </c>
    </row>
    <row r="2522" spans="1:2">
      <c r="A2522" s="112">
        <v>1008852</v>
      </c>
      <c r="B2522" s="110" t="s">
        <v>1405</v>
      </c>
    </row>
    <row r="2523" spans="1:2" ht="25.5">
      <c r="A2523" s="112">
        <v>1008853</v>
      </c>
      <c r="B2523" s="110" t="s">
        <v>1406</v>
      </c>
    </row>
    <row r="2524" spans="1:2">
      <c r="A2524" s="112">
        <v>1008854</v>
      </c>
      <c r="B2524" s="110" t="s">
        <v>356</v>
      </c>
    </row>
    <row r="2525" spans="1:2">
      <c r="A2525" s="112">
        <v>1008855</v>
      </c>
      <c r="B2525" s="110" t="s">
        <v>1407</v>
      </c>
    </row>
    <row r="2526" spans="1:2" ht="25.5">
      <c r="A2526" s="112">
        <v>1008856</v>
      </c>
      <c r="B2526" s="110" t="s">
        <v>1408</v>
      </c>
    </row>
    <row r="2527" spans="1:2" ht="25.5">
      <c r="A2527" s="112">
        <v>1008857</v>
      </c>
      <c r="B2527" s="110" t="s">
        <v>1409</v>
      </c>
    </row>
    <row r="2528" spans="1:2" ht="25.5">
      <c r="A2528" s="112">
        <v>1008858</v>
      </c>
      <c r="B2528" s="110" t="s">
        <v>1410</v>
      </c>
    </row>
    <row r="2529" spans="1:2">
      <c r="A2529" s="112">
        <v>1008860</v>
      </c>
      <c r="B2529" s="110" t="s">
        <v>1411</v>
      </c>
    </row>
    <row r="2530" spans="1:2">
      <c r="A2530" s="112">
        <v>1008900</v>
      </c>
      <c r="B2530" s="110" t="s">
        <v>1412</v>
      </c>
    </row>
    <row r="2531" spans="1:2">
      <c r="A2531" s="112">
        <v>1009000</v>
      </c>
      <c r="B2531" s="110" t="s">
        <v>1413</v>
      </c>
    </row>
    <row r="2532" spans="1:2">
      <c r="A2532" s="112">
        <v>1009100</v>
      </c>
      <c r="B2532" s="110" t="s">
        <v>1414</v>
      </c>
    </row>
    <row r="2533" spans="1:2" ht="25.5">
      <c r="A2533" s="112">
        <v>1009200</v>
      </c>
      <c r="B2533" s="110" t="s">
        <v>1415</v>
      </c>
    </row>
    <row r="2534" spans="1:2">
      <c r="A2534" s="112">
        <v>1009300</v>
      </c>
      <c r="B2534" s="110" t="s">
        <v>1416</v>
      </c>
    </row>
    <row r="2535" spans="1:2">
      <c r="A2535" s="112">
        <v>1009301</v>
      </c>
      <c r="B2535" s="110" t="s">
        <v>2005</v>
      </c>
    </row>
    <row r="2536" spans="1:2" ht="25.5">
      <c r="A2536" s="112">
        <v>1009400</v>
      </c>
      <c r="B2536" s="110" t="s">
        <v>2006</v>
      </c>
    </row>
    <row r="2537" spans="1:2">
      <c r="A2537" s="112" t="s">
        <v>1417</v>
      </c>
      <c r="B2537" s="110"/>
    </row>
    <row r="2538" spans="1:2" ht="25.5">
      <c r="A2538" s="112">
        <v>1009500</v>
      </c>
      <c r="B2538" s="110" t="s">
        <v>1418</v>
      </c>
    </row>
    <row r="2539" spans="1:2" ht="25.5">
      <c r="A2539" s="112">
        <v>1009600</v>
      </c>
      <c r="B2539" s="110" t="s">
        <v>1419</v>
      </c>
    </row>
    <row r="2540" spans="1:2">
      <c r="A2540" s="112">
        <v>1009700</v>
      </c>
      <c r="B2540" s="110" t="s">
        <v>1420</v>
      </c>
    </row>
    <row r="2541" spans="1:2" ht="25.5">
      <c r="A2541" s="112">
        <v>1009800</v>
      </c>
      <c r="B2541" s="110" t="s">
        <v>1421</v>
      </c>
    </row>
    <row r="2542" spans="1:2" ht="25.5">
      <c r="A2542" s="112">
        <v>1009900</v>
      </c>
      <c r="B2542" s="110" t="s">
        <v>1422</v>
      </c>
    </row>
    <row r="2543" spans="1:2">
      <c r="A2543" s="112">
        <v>1009901</v>
      </c>
      <c r="B2543" s="110" t="s">
        <v>904</v>
      </c>
    </row>
    <row r="2544" spans="1:2" ht="38.25">
      <c r="A2544" s="112">
        <v>1009902</v>
      </c>
      <c r="B2544" s="110" t="s">
        <v>902</v>
      </c>
    </row>
    <row r="2545" spans="1:2">
      <c r="A2545" s="112">
        <v>1010000</v>
      </c>
      <c r="B2545" s="110" t="s">
        <v>1506</v>
      </c>
    </row>
    <row r="2546" spans="1:2">
      <c r="A2546" s="112">
        <v>1010100</v>
      </c>
      <c r="B2546" s="110" t="s">
        <v>634</v>
      </c>
    </row>
    <row r="2547" spans="1:2" ht="25.5">
      <c r="A2547" s="112">
        <v>1010200</v>
      </c>
      <c r="B2547" s="110" t="s">
        <v>47</v>
      </c>
    </row>
    <row r="2548" spans="1:2" ht="25.5">
      <c r="A2548" s="112">
        <v>1010300</v>
      </c>
      <c r="B2548" s="110" t="s">
        <v>1201</v>
      </c>
    </row>
    <row r="2549" spans="1:2">
      <c r="A2549" s="112">
        <v>1015700</v>
      </c>
      <c r="B2549" s="110" t="s">
        <v>919</v>
      </c>
    </row>
    <row r="2550" spans="1:2">
      <c r="A2550" s="112">
        <v>1016300</v>
      </c>
      <c r="B2550" s="110" t="s">
        <v>920</v>
      </c>
    </row>
    <row r="2551" spans="1:2">
      <c r="A2551" s="112">
        <v>1016700</v>
      </c>
      <c r="B2551" s="110" t="s">
        <v>48</v>
      </c>
    </row>
    <row r="2552" spans="1:2">
      <c r="A2552" s="112">
        <v>1020000</v>
      </c>
      <c r="B2552" s="110" t="s">
        <v>619</v>
      </c>
    </row>
    <row r="2553" spans="1:2" ht="25.5">
      <c r="A2553" s="112">
        <v>1020100</v>
      </c>
      <c r="B2553" s="110" t="s">
        <v>527</v>
      </c>
    </row>
    <row r="2554" spans="1:2" ht="25.5">
      <c r="A2554" s="112">
        <v>1020101</v>
      </c>
      <c r="B2554" s="110" t="s">
        <v>965</v>
      </c>
    </row>
    <row r="2555" spans="1:2">
      <c r="A2555" s="112">
        <v>1020102</v>
      </c>
      <c r="B2555" s="110" t="s">
        <v>903</v>
      </c>
    </row>
    <row r="2556" spans="1:2" ht="25.5">
      <c r="A2556" s="112">
        <v>1020103</v>
      </c>
      <c r="B2556" s="110" t="s">
        <v>1864</v>
      </c>
    </row>
    <row r="2557" spans="1:2">
      <c r="A2557" s="112">
        <v>1020107</v>
      </c>
      <c r="B2557" s="110" t="s">
        <v>257</v>
      </c>
    </row>
    <row r="2558" spans="1:2">
      <c r="A2558" s="112">
        <v>1020108</v>
      </c>
      <c r="B2558" s="110" t="s">
        <v>906</v>
      </c>
    </row>
    <row r="2559" spans="1:2">
      <c r="A2559" s="112">
        <v>1020200</v>
      </c>
      <c r="B2559" s="110" t="s">
        <v>1395</v>
      </c>
    </row>
    <row r="2560" spans="1:2" ht="25.5">
      <c r="A2560" s="112">
        <v>1020201</v>
      </c>
      <c r="B2560" s="110" t="s">
        <v>971</v>
      </c>
    </row>
    <row r="2561" spans="1:2">
      <c r="A2561" s="112">
        <v>1020202</v>
      </c>
      <c r="B2561" s="110" t="s">
        <v>154</v>
      </c>
    </row>
    <row r="2562" spans="1:2" ht="25.5">
      <c r="A2562" s="112">
        <v>1020203</v>
      </c>
      <c r="B2562" s="110" t="s">
        <v>907</v>
      </c>
    </row>
    <row r="2563" spans="1:2">
      <c r="A2563" s="112">
        <v>1020204</v>
      </c>
      <c r="B2563" s="110" t="s">
        <v>427</v>
      </c>
    </row>
    <row r="2564" spans="1:2" ht="38.25">
      <c r="A2564" s="112">
        <v>1020205</v>
      </c>
      <c r="B2564" s="110" t="s">
        <v>235</v>
      </c>
    </row>
    <row r="2565" spans="1:2" ht="38.25">
      <c r="A2565" s="112">
        <v>1020206</v>
      </c>
      <c r="B2565" s="111" t="s">
        <v>908</v>
      </c>
    </row>
    <row r="2566" spans="1:2" ht="25.5">
      <c r="A2566" s="112">
        <v>1020208</v>
      </c>
      <c r="B2566" s="110" t="s">
        <v>1427</v>
      </c>
    </row>
    <row r="2567" spans="1:2">
      <c r="A2567" s="112">
        <v>1020300</v>
      </c>
      <c r="B2567" s="110" t="s">
        <v>236</v>
      </c>
    </row>
    <row r="2568" spans="1:2">
      <c r="A2568" s="112">
        <v>1020400</v>
      </c>
      <c r="B2568" s="110" t="s">
        <v>237</v>
      </c>
    </row>
    <row r="2569" spans="1:2" ht="25.5">
      <c r="A2569" s="112">
        <v>1020401</v>
      </c>
      <c r="B2569" s="110" t="s">
        <v>859</v>
      </c>
    </row>
    <row r="2570" spans="1:2" ht="25.5">
      <c r="A2570" s="112">
        <v>1020402</v>
      </c>
      <c r="B2570" s="110" t="s">
        <v>1080</v>
      </c>
    </row>
    <row r="2571" spans="1:2" ht="25.5">
      <c r="A2571" s="112">
        <v>1020500</v>
      </c>
      <c r="B2571" s="110" t="s">
        <v>1749</v>
      </c>
    </row>
    <row r="2572" spans="1:2" ht="38.25">
      <c r="A2572" s="112">
        <v>1020501</v>
      </c>
      <c r="B2572" s="110" t="s">
        <v>413</v>
      </c>
    </row>
    <row r="2573" spans="1:2" ht="25.5">
      <c r="A2573" s="112">
        <v>1020502</v>
      </c>
      <c r="B2573" s="110" t="s">
        <v>1253</v>
      </c>
    </row>
    <row r="2574" spans="1:2">
      <c r="A2574" s="112">
        <v>1020600</v>
      </c>
      <c r="B2574" s="110" t="s">
        <v>204</v>
      </c>
    </row>
    <row r="2575" spans="1:2">
      <c r="A2575" s="112">
        <v>1040000</v>
      </c>
      <c r="B2575" s="110" t="s">
        <v>1428</v>
      </c>
    </row>
    <row r="2576" spans="1:2" ht="25.5">
      <c r="A2576" s="112">
        <v>1040100</v>
      </c>
      <c r="B2576" s="110" t="s">
        <v>1429</v>
      </c>
    </row>
    <row r="2577" spans="1:2" ht="25.5">
      <c r="A2577" s="112">
        <v>1040101</v>
      </c>
      <c r="B2577" s="110" t="s">
        <v>1138</v>
      </c>
    </row>
    <row r="2578" spans="1:2">
      <c r="A2578" s="112">
        <v>1040102</v>
      </c>
      <c r="B2578" s="110" t="s">
        <v>529</v>
      </c>
    </row>
    <row r="2579" spans="1:2">
      <c r="A2579" s="112">
        <v>1040103</v>
      </c>
      <c r="B2579" s="110" t="s">
        <v>822</v>
      </c>
    </row>
    <row r="2580" spans="1:2" ht="25.5">
      <c r="A2580" s="112">
        <v>1040104</v>
      </c>
      <c r="B2580" s="110" t="s">
        <v>1473</v>
      </c>
    </row>
    <row r="2581" spans="1:2">
      <c r="A2581" s="112">
        <v>1040105</v>
      </c>
      <c r="B2581" s="110" t="s">
        <v>1474</v>
      </c>
    </row>
    <row r="2582" spans="1:2">
      <c r="A2582" s="112">
        <v>1040106</v>
      </c>
      <c r="B2582" s="110" t="s">
        <v>1745</v>
      </c>
    </row>
    <row r="2583" spans="1:2">
      <c r="A2583" s="112">
        <v>1040200</v>
      </c>
      <c r="B2583" s="110" t="s">
        <v>212</v>
      </c>
    </row>
    <row r="2584" spans="1:2">
      <c r="A2584" s="112">
        <v>1040300</v>
      </c>
      <c r="B2584" s="110" t="s">
        <v>1748</v>
      </c>
    </row>
    <row r="2585" spans="1:2" ht="25.5">
      <c r="A2585" s="112">
        <v>1040400</v>
      </c>
      <c r="B2585" s="110" t="s">
        <v>899</v>
      </c>
    </row>
    <row r="2586" spans="1:2">
      <c r="A2586" s="112">
        <v>1040500</v>
      </c>
      <c r="B2586" s="110" t="s">
        <v>1723</v>
      </c>
    </row>
    <row r="2587" spans="1:2" ht="25.5">
      <c r="A2587" s="112">
        <v>1040600</v>
      </c>
      <c r="B2587" s="110" t="s">
        <v>1250</v>
      </c>
    </row>
    <row r="2588" spans="1:2">
      <c r="A2588" s="112">
        <v>1040700</v>
      </c>
      <c r="B2588" s="110" t="s">
        <v>1430</v>
      </c>
    </row>
    <row r="2589" spans="1:2">
      <c r="A2589" s="112">
        <v>1040800</v>
      </c>
      <c r="B2589" s="110" t="s">
        <v>1136</v>
      </c>
    </row>
    <row r="2590" spans="1:2">
      <c r="A2590" s="112">
        <v>1040801</v>
      </c>
      <c r="B2590" s="110" t="s">
        <v>355</v>
      </c>
    </row>
    <row r="2591" spans="1:2">
      <c r="A2591" s="112">
        <v>1040802</v>
      </c>
      <c r="B2591" s="110" t="s">
        <v>356</v>
      </c>
    </row>
    <row r="2592" spans="1:2">
      <c r="A2592" s="112">
        <v>1040803</v>
      </c>
      <c r="B2592" s="110" t="s">
        <v>198</v>
      </c>
    </row>
    <row r="2593" spans="1:2" ht="25.5">
      <c r="A2593" s="112">
        <v>1040804</v>
      </c>
      <c r="B2593" s="110" t="s">
        <v>1431</v>
      </c>
    </row>
    <row r="2594" spans="1:2" ht="25.5">
      <c r="A2594" s="112">
        <v>1100000</v>
      </c>
      <c r="B2594" s="110" t="s">
        <v>1432</v>
      </c>
    </row>
    <row r="2595" spans="1:2">
      <c r="A2595" s="112">
        <v>1100100</v>
      </c>
      <c r="B2595" s="110" t="s">
        <v>1433</v>
      </c>
    </row>
    <row r="2596" spans="1:2" ht="25.5">
      <c r="A2596" s="112">
        <v>1300000</v>
      </c>
      <c r="B2596" s="110" t="s">
        <v>1248</v>
      </c>
    </row>
    <row r="2597" spans="1:2">
      <c r="A2597" s="112">
        <v>1300100</v>
      </c>
      <c r="B2597" s="110" t="s">
        <v>1249</v>
      </c>
    </row>
    <row r="2598" spans="1:2" ht="25.5">
      <c r="A2598" s="112">
        <v>1305700</v>
      </c>
      <c r="B2598" s="110" t="s">
        <v>291</v>
      </c>
    </row>
    <row r="2599" spans="1:2">
      <c r="A2599" s="112">
        <v>1306700</v>
      </c>
      <c r="B2599" s="110" t="s">
        <v>48</v>
      </c>
    </row>
    <row r="2600" spans="1:2">
      <c r="A2600" s="112">
        <v>1308000</v>
      </c>
      <c r="B2600" s="110" t="s">
        <v>292</v>
      </c>
    </row>
    <row r="2601" spans="1:2">
      <c r="A2601" s="112">
        <v>1309900</v>
      </c>
      <c r="B2601" s="110" t="s">
        <v>52</v>
      </c>
    </row>
    <row r="2602" spans="1:2" ht="25.5">
      <c r="A2602" s="112">
        <v>1310000</v>
      </c>
      <c r="B2602" s="110" t="s">
        <v>1538</v>
      </c>
    </row>
    <row r="2603" spans="1:2">
      <c r="A2603" s="112">
        <v>1310100</v>
      </c>
      <c r="B2603" s="110" t="s">
        <v>1539</v>
      </c>
    </row>
    <row r="2604" spans="1:2">
      <c r="A2604" s="112">
        <v>1320000</v>
      </c>
      <c r="B2604" s="110" t="s">
        <v>1871</v>
      </c>
    </row>
    <row r="2605" spans="1:2">
      <c r="A2605" s="112">
        <v>1328000</v>
      </c>
      <c r="B2605" s="110" t="s">
        <v>292</v>
      </c>
    </row>
    <row r="2606" spans="1:2" ht="25.5">
      <c r="A2606" s="112">
        <v>1330000</v>
      </c>
      <c r="B2606" s="110" t="s">
        <v>1872</v>
      </c>
    </row>
    <row r="2607" spans="1:2" ht="25.5">
      <c r="A2607" s="112">
        <v>1330100</v>
      </c>
      <c r="B2607" s="110" t="s">
        <v>1873</v>
      </c>
    </row>
    <row r="2608" spans="1:2" ht="25.5">
      <c r="A2608" s="112">
        <v>1340000</v>
      </c>
      <c r="B2608" s="110" t="s">
        <v>1872</v>
      </c>
    </row>
    <row r="2609" spans="1:2" ht="25.5">
      <c r="A2609" s="112">
        <v>1340100</v>
      </c>
      <c r="B2609" s="110" t="s">
        <v>1874</v>
      </c>
    </row>
    <row r="2610" spans="1:2">
      <c r="A2610" s="112">
        <v>1340200</v>
      </c>
      <c r="B2610" s="110" t="s">
        <v>1682</v>
      </c>
    </row>
    <row r="2611" spans="1:2">
      <c r="A2611" s="112">
        <v>1350000</v>
      </c>
      <c r="B2611" s="110" t="s">
        <v>1683</v>
      </c>
    </row>
    <row r="2612" spans="1:2" ht="25.5">
      <c r="A2612" s="112">
        <v>1350100</v>
      </c>
      <c r="B2612" s="110" t="s">
        <v>1684</v>
      </c>
    </row>
    <row r="2613" spans="1:2">
      <c r="A2613" s="112">
        <v>1350200</v>
      </c>
      <c r="B2613" s="110" t="s">
        <v>1685</v>
      </c>
    </row>
    <row r="2614" spans="1:2">
      <c r="A2614" s="112">
        <v>1360000</v>
      </c>
      <c r="B2614" s="110" t="s">
        <v>1686</v>
      </c>
    </row>
    <row r="2615" spans="1:2">
      <c r="A2615" s="112">
        <v>1360100</v>
      </c>
      <c r="B2615" s="110" t="s">
        <v>1687</v>
      </c>
    </row>
    <row r="2616" spans="1:2">
      <c r="A2616" s="112">
        <v>1360200</v>
      </c>
      <c r="B2616" s="110" t="s">
        <v>1688</v>
      </c>
    </row>
    <row r="2617" spans="1:2">
      <c r="A2617" s="112">
        <v>2000000</v>
      </c>
      <c r="B2617" s="110" t="s">
        <v>1069</v>
      </c>
    </row>
    <row r="2618" spans="1:2">
      <c r="A2618" s="112">
        <v>2006600</v>
      </c>
      <c r="B2618" s="110" t="s">
        <v>424</v>
      </c>
    </row>
    <row r="2619" spans="1:2">
      <c r="A2619" s="112">
        <v>2006700</v>
      </c>
      <c r="B2619" s="110" t="s">
        <v>48</v>
      </c>
    </row>
    <row r="2620" spans="1:2">
      <c r="A2620" s="112">
        <v>2006800</v>
      </c>
      <c r="B2620" s="110" t="s">
        <v>618</v>
      </c>
    </row>
    <row r="2621" spans="1:2">
      <c r="A2621" s="112">
        <v>2006801</v>
      </c>
      <c r="B2621" s="110" t="s">
        <v>386</v>
      </c>
    </row>
    <row r="2622" spans="1:2" ht="25.5">
      <c r="A2622" s="112">
        <v>2006802</v>
      </c>
      <c r="B2622" s="110" t="s">
        <v>160</v>
      </c>
    </row>
    <row r="2623" spans="1:2">
      <c r="A2623" s="112">
        <v>2007000</v>
      </c>
      <c r="B2623" s="110" t="s">
        <v>896</v>
      </c>
    </row>
    <row r="2624" spans="1:2">
      <c r="A2624" s="112">
        <v>2009700</v>
      </c>
      <c r="B2624" s="110" t="s">
        <v>1103</v>
      </c>
    </row>
    <row r="2625" spans="1:2">
      <c r="A2625" s="112">
        <v>2010000</v>
      </c>
      <c r="B2625" s="110" t="s">
        <v>1245</v>
      </c>
    </row>
    <row r="2626" spans="1:2">
      <c r="A2626" s="112">
        <v>2016700</v>
      </c>
      <c r="B2626" s="110" t="s">
        <v>48</v>
      </c>
    </row>
    <row r="2627" spans="1:2">
      <c r="A2627" s="112">
        <v>2016800</v>
      </c>
      <c r="B2627" s="110" t="s">
        <v>618</v>
      </c>
    </row>
    <row r="2628" spans="1:2">
      <c r="A2628" s="112">
        <v>2016801</v>
      </c>
      <c r="B2628" s="110" t="s">
        <v>386</v>
      </c>
    </row>
    <row r="2629" spans="1:2" ht="25.5">
      <c r="A2629" s="112">
        <v>2016802</v>
      </c>
      <c r="B2629" s="110" t="s">
        <v>160</v>
      </c>
    </row>
    <row r="2630" spans="1:2">
      <c r="A2630" s="112">
        <v>2017000</v>
      </c>
      <c r="B2630" s="110" t="s">
        <v>896</v>
      </c>
    </row>
    <row r="2631" spans="1:2">
      <c r="A2631" s="112">
        <v>2018200</v>
      </c>
      <c r="B2631" s="110" t="s">
        <v>1083</v>
      </c>
    </row>
    <row r="2632" spans="1:2">
      <c r="A2632" s="112">
        <v>2020000</v>
      </c>
      <c r="B2632" s="110" t="s">
        <v>586</v>
      </c>
    </row>
    <row r="2633" spans="1:2" ht="25.5">
      <c r="A2633" s="112">
        <v>2020100</v>
      </c>
      <c r="B2633" s="110" t="s">
        <v>445</v>
      </c>
    </row>
    <row r="2634" spans="1:2">
      <c r="A2634" s="112">
        <v>2020800</v>
      </c>
      <c r="B2634" s="110" t="s">
        <v>1797</v>
      </c>
    </row>
    <row r="2635" spans="1:2">
      <c r="A2635" s="112">
        <v>2020900</v>
      </c>
      <c r="B2635" s="110" t="s">
        <v>1689</v>
      </c>
    </row>
    <row r="2636" spans="1:2" ht="25.5">
      <c r="A2636" s="112">
        <v>2024200</v>
      </c>
      <c r="B2636" s="110" t="s">
        <v>1852</v>
      </c>
    </row>
    <row r="2637" spans="1:2">
      <c r="A2637" s="112">
        <v>2025800</v>
      </c>
      <c r="B2637" s="110" t="s">
        <v>579</v>
      </c>
    </row>
    <row r="2638" spans="1:2">
      <c r="A2638" s="112">
        <v>2026400</v>
      </c>
      <c r="B2638" s="110" t="s">
        <v>1038</v>
      </c>
    </row>
    <row r="2639" spans="1:2">
      <c r="A2639" s="112">
        <v>2026500</v>
      </c>
      <c r="B2639" s="110" t="s">
        <v>292</v>
      </c>
    </row>
    <row r="2640" spans="1:2">
      <c r="A2640" s="112">
        <v>2026700</v>
      </c>
      <c r="B2640" s="110" t="s">
        <v>48</v>
      </c>
    </row>
    <row r="2641" spans="1:2">
      <c r="A2641" s="112">
        <v>2027000</v>
      </c>
      <c r="B2641" s="110" t="s">
        <v>896</v>
      </c>
    </row>
    <row r="2642" spans="1:2">
      <c r="A2642" s="112">
        <v>2027100</v>
      </c>
      <c r="B2642" s="110" t="s">
        <v>897</v>
      </c>
    </row>
    <row r="2643" spans="1:2">
      <c r="A2643" s="112">
        <v>2027101</v>
      </c>
      <c r="B2643" s="110" t="s">
        <v>289</v>
      </c>
    </row>
    <row r="2644" spans="1:2">
      <c r="A2644" s="112">
        <v>2027102</v>
      </c>
      <c r="B2644" s="110" t="s">
        <v>167</v>
      </c>
    </row>
    <row r="2645" spans="1:2">
      <c r="A2645" s="112">
        <v>2027103</v>
      </c>
      <c r="B2645" s="110" t="s">
        <v>168</v>
      </c>
    </row>
    <row r="2646" spans="1:2">
      <c r="A2646" s="112">
        <v>2027200</v>
      </c>
      <c r="B2646" s="110" t="s">
        <v>231</v>
      </c>
    </row>
    <row r="2647" spans="1:2">
      <c r="A2647" s="112">
        <v>2027201</v>
      </c>
      <c r="B2647" s="110" t="s">
        <v>632</v>
      </c>
    </row>
    <row r="2648" spans="1:2">
      <c r="A2648" s="112">
        <v>2027202</v>
      </c>
      <c r="B2648" s="110" t="s">
        <v>633</v>
      </c>
    </row>
    <row r="2649" spans="1:2">
      <c r="A2649" s="112">
        <v>2027203</v>
      </c>
      <c r="B2649" s="110" t="s">
        <v>576</v>
      </c>
    </row>
    <row r="2650" spans="1:2">
      <c r="A2650" s="112">
        <v>2027600</v>
      </c>
      <c r="B2650" s="110" t="s">
        <v>1081</v>
      </c>
    </row>
    <row r="2651" spans="1:2">
      <c r="A2651" s="112">
        <v>2029900</v>
      </c>
      <c r="B2651" s="110" t="s">
        <v>52</v>
      </c>
    </row>
    <row r="2652" spans="1:2">
      <c r="A2652" s="112">
        <v>2040000</v>
      </c>
      <c r="B2652" s="110" t="s">
        <v>1690</v>
      </c>
    </row>
    <row r="2653" spans="1:2">
      <c r="A2653" s="112">
        <v>2070000</v>
      </c>
      <c r="B2653" s="110" t="s">
        <v>309</v>
      </c>
    </row>
    <row r="2654" spans="1:2" ht="25.5">
      <c r="A2654" s="112">
        <v>2070100</v>
      </c>
      <c r="B2654" s="110" t="s">
        <v>764</v>
      </c>
    </row>
    <row r="2655" spans="1:2">
      <c r="A2655" s="112">
        <v>2075800</v>
      </c>
      <c r="B2655" s="110" t="s">
        <v>579</v>
      </c>
    </row>
    <row r="2656" spans="1:2">
      <c r="A2656" s="112">
        <v>2079900</v>
      </c>
      <c r="B2656" s="110" t="s">
        <v>52</v>
      </c>
    </row>
    <row r="2657" spans="1:2">
      <c r="A2657" s="112">
        <v>2080000</v>
      </c>
      <c r="B2657" s="110" t="s">
        <v>20</v>
      </c>
    </row>
    <row r="2658" spans="1:2">
      <c r="A2658" s="112">
        <v>2080200</v>
      </c>
      <c r="B2658" s="110" t="s">
        <v>765</v>
      </c>
    </row>
    <row r="2659" spans="1:2" ht="38.25">
      <c r="A2659" s="112">
        <v>2080300</v>
      </c>
      <c r="B2659" s="110" t="s">
        <v>1691</v>
      </c>
    </row>
    <row r="2660" spans="1:2" ht="25.5">
      <c r="A2660" s="112">
        <v>2080400</v>
      </c>
      <c r="B2660" s="110" t="s">
        <v>1692</v>
      </c>
    </row>
    <row r="2661" spans="1:2">
      <c r="A2661" s="112">
        <v>2086100</v>
      </c>
      <c r="B2661" s="110" t="s">
        <v>339</v>
      </c>
    </row>
    <row r="2662" spans="1:2">
      <c r="A2662" s="112">
        <v>2086200</v>
      </c>
      <c r="B2662" s="110" t="s">
        <v>153</v>
      </c>
    </row>
    <row r="2663" spans="1:2">
      <c r="A2663" s="112">
        <v>2086300</v>
      </c>
      <c r="B2663" s="110" t="s">
        <v>920</v>
      </c>
    </row>
    <row r="2664" spans="1:2">
      <c r="A2664" s="112">
        <v>2090000</v>
      </c>
      <c r="B2664" s="110" t="s">
        <v>917</v>
      </c>
    </row>
    <row r="2665" spans="1:2">
      <c r="A2665" s="112">
        <v>2090100</v>
      </c>
      <c r="B2665" s="110" t="s">
        <v>1608</v>
      </c>
    </row>
    <row r="2666" spans="1:2">
      <c r="A2666" s="112">
        <v>2100000</v>
      </c>
      <c r="B2666" s="110" t="s">
        <v>317</v>
      </c>
    </row>
    <row r="2667" spans="1:2">
      <c r="A2667" s="112">
        <v>2105800</v>
      </c>
      <c r="B2667" s="110" t="s">
        <v>579</v>
      </c>
    </row>
    <row r="2668" spans="1:2">
      <c r="A2668" s="112">
        <v>2110000</v>
      </c>
      <c r="B2668" s="110" t="s">
        <v>318</v>
      </c>
    </row>
    <row r="2669" spans="1:2">
      <c r="A2669" s="112">
        <v>2110100</v>
      </c>
      <c r="B2669" s="110" t="s">
        <v>1590</v>
      </c>
    </row>
    <row r="2670" spans="1:2">
      <c r="A2670" s="112">
        <v>2120000</v>
      </c>
      <c r="B2670" s="110" t="s">
        <v>767</v>
      </c>
    </row>
    <row r="2671" spans="1:2">
      <c r="A2671" s="112">
        <v>2120100</v>
      </c>
      <c r="B2671" s="110" t="s">
        <v>767</v>
      </c>
    </row>
    <row r="2672" spans="1:2">
      <c r="A2672" s="112">
        <v>2130000</v>
      </c>
      <c r="B2672" s="110" t="s">
        <v>1840</v>
      </c>
    </row>
    <row r="2673" spans="1:2">
      <c r="A2673" s="112">
        <v>2130200</v>
      </c>
      <c r="B2673" s="110" t="s">
        <v>1693</v>
      </c>
    </row>
    <row r="2674" spans="1:2">
      <c r="A2674" s="112">
        <v>2140000</v>
      </c>
      <c r="B2674" s="110" t="s">
        <v>281</v>
      </c>
    </row>
    <row r="2675" spans="1:2">
      <c r="A2675" s="112">
        <v>2140100</v>
      </c>
      <c r="B2675" s="110" t="s">
        <v>339</v>
      </c>
    </row>
    <row r="2676" spans="1:2">
      <c r="A2676" s="112">
        <v>2140200</v>
      </c>
      <c r="B2676" s="110" t="s">
        <v>716</v>
      </c>
    </row>
    <row r="2677" spans="1:2">
      <c r="A2677" s="112">
        <v>2140400</v>
      </c>
      <c r="B2677" s="110" t="s">
        <v>958</v>
      </c>
    </row>
    <row r="2678" spans="1:2">
      <c r="A2678" s="112">
        <v>2140500</v>
      </c>
      <c r="B2678" s="110" t="s">
        <v>1395</v>
      </c>
    </row>
    <row r="2679" spans="1:2">
      <c r="A2679" s="112">
        <v>2140600</v>
      </c>
      <c r="B2679" s="110" t="s">
        <v>959</v>
      </c>
    </row>
    <row r="2680" spans="1:2">
      <c r="A2680" s="112">
        <v>2140700</v>
      </c>
      <c r="B2680" s="110" t="s">
        <v>1470</v>
      </c>
    </row>
    <row r="2681" spans="1:2">
      <c r="A2681" s="112">
        <v>2140800</v>
      </c>
      <c r="B2681" s="110" t="s">
        <v>1619</v>
      </c>
    </row>
    <row r="2682" spans="1:2">
      <c r="A2682" s="112">
        <v>2140900</v>
      </c>
      <c r="B2682" s="110" t="s">
        <v>1694</v>
      </c>
    </row>
    <row r="2683" spans="1:2">
      <c r="A2683" s="112">
        <v>2141000</v>
      </c>
      <c r="B2683" s="110" t="s">
        <v>935</v>
      </c>
    </row>
    <row r="2684" spans="1:2">
      <c r="A2684" s="112">
        <v>2143000</v>
      </c>
      <c r="B2684" s="110" t="s">
        <v>936</v>
      </c>
    </row>
    <row r="2685" spans="1:2">
      <c r="A2685" s="112">
        <v>2146500</v>
      </c>
      <c r="B2685" s="110" t="s">
        <v>292</v>
      </c>
    </row>
    <row r="2686" spans="1:2">
      <c r="A2686" s="112">
        <v>2147000</v>
      </c>
      <c r="B2686" s="110" t="s">
        <v>896</v>
      </c>
    </row>
    <row r="2687" spans="1:2" ht="25.5">
      <c r="A2687" s="112">
        <v>2149300</v>
      </c>
      <c r="B2687" s="110" t="s">
        <v>660</v>
      </c>
    </row>
    <row r="2688" spans="1:2">
      <c r="A2688" s="112">
        <v>2149400</v>
      </c>
      <c r="B2688" s="110" t="s">
        <v>623</v>
      </c>
    </row>
    <row r="2689" spans="1:2">
      <c r="A2689" s="112">
        <v>2150000</v>
      </c>
      <c r="B2689" s="110" t="s">
        <v>17</v>
      </c>
    </row>
    <row r="2690" spans="1:2">
      <c r="A2690" s="112">
        <v>2150100</v>
      </c>
      <c r="B2690" s="110" t="s">
        <v>937</v>
      </c>
    </row>
    <row r="2691" spans="1:2">
      <c r="A2691" s="112">
        <v>2155800</v>
      </c>
      <c r="B2691" s="110" t="s">
        <v>579</v>
      </c>
    </row>
    <row r="2692" spans="1:2">
      <c r="A2692" s="112">
        <v>2156700</v>
      </c>
      <c r="B2692" s="110" t="s">
        <v>48</v>
      </c>
    </row>
    <row r="2693" spans="1:2">
      <c r="A2693" s="112">
        <v>2156800</v>
      </c>
      <c r="B2693" s="110" t="s">
        <v>618</v>
      </c>
    </row>
    <row r="2694" spans="1:2">
      <c r="A2694" s="112">
        <v>2156801</v>
      </c>
      <c r="B2694" s="110" t="s">
        <v>386</v>
      </c>
    </row>
    <row r="2695" spans="1:2" ht="25.5">
      <c r="A2695" s="112">
        <v>2156802</v>
      </c>
      <c r="B2695" s="110" t="s">
        <v>160</v>
      </c>
    </row>
    <row r="2696" spans="1:2">
      <c r="A2696" s="112">
        <v>2157100</v>
      </c>
      <c r="B2696" s="110" t="s">
        <v>897</v>
      </c>
    </row>
    <row r="2697" spans="1:2">
      <c r="A2697" s="112">
        <v>2157101</v>
      </c>
      <c r="B2697" s="110" t="s">
        <v>289</v>
      </c>
    </row>
    <row r="2698" spans="1:2">
      <c r="A2698" s="112">
        <v>2157102</v>
      </c>
      <c r="B2698" s="110" t="s">
        <v>167</v>
      </c>
    </row>
    <row r="2699" spans="1:2">
      <c r="A2699" s="112">
        <v>2157103</v>
      </c>
      <c r="B2699" s="110" t="s">
        <v>168</v>
      </c>
    </row>
    <row r="2700" spans="1:2">
      <c r="A2700" s="112">
        <v>2157200</v>
      </c>
      <c r="B2700" s="110" t="s">
        <v>231</v>
      </c>
    </row>
    <row r="2701" spans="1:2">
      <c r="A2701" s="112">
        <v>2157201</v>
      </c>
      <c r="B2701" s="110" t="s">
        <v>632</v>
      </c>
    </row>
    <row r="2702" spans="1:2">
      <c r="A2702" s="112">
        <v>2157202</v>
      </c>
      <c r="B2702" s="110" t="s">
        <v>633</v>
      </c>
    </row>
    <row r="2703" spans="1:2">
      <c r="A2703" s="112">
        <v>2157203</v>
      </c>
      <c r="B2703" s="110" t="s">
        <v>576</v>
      </c>
    </row>
    <row r="2704" spans="1:2">
      <c r="A2704" s="112">
        <v>2157600</v>
      </c>
      <c r="B2704" s="110" t="s">
        <v>1081</v>
      </c>
    </row>
    <row r="2705" spans="1:2">
      <c r="A2705" s="112">
        <v>2159900</v>
      </c>
      <c r="B2705" s="110" t="s">
        <v>52</v>
      </c>
    </row>
    <row r="2706" spans="1:2">
      <c r="A2706" s="112">
        <v>2160000</v>
      </c>
      <c r="B2706" s="110" t="s">
        <v>938</v>
      </c>
    </row>
    <row r="2707" spans="1:2">
      <c r="A2707" s="112">
        <v>2166700</v>
      </c>
      <c r="B2707" s="110" t="s">
        <v>48</v>
      </c>
    </row>
    <row r="2708" spans="1:2">
      <c r="A2708" s="112">
        <v>2167100</v>
      </c>
      <c r="B2708" s="110" t="s">
        <v>897</v>
      </c>
    </row>
    <row r="2709" spans="1:2">
      <c r="A2709" s="112">
        <v>2167101</v>
      </c>
      <c r="B2709" s="110" t="s">
        <v>289</v>
      </c>
    </row>
    <row r="2710" spans="1:2">
      <c r="A2710" s="112">
        <v>2167102</v>
      </c>
      <c r="B2710" s="110" t="s">
        <v>167</v>
      </c>
    </row>
    <row r="2711" spans="1:2">
      <c r="A2711" s="112">
        <v>2167103</v>
      </c>
      <c r="B2711" s="110" t="s">
        <v>168</v>
      </c>
    </row>
    <row r="2712" spans="1:2">
      <c r="A2712" s="112">
        <v>2167200</v>
      </c>
      <c r="B2712" s="110" t="s">
        <v>231</v>
      </c>
    </row>
    <row r="2713" spans="1:2">
      <c r="A2713" s="112">
        <v>2167201</v>
      </c>
      <c r="B2713" s="110" t="s">
        <v>632</v>
      </c>
    </row>
    <row r="2714" spans="1:2">
      <c r="A2714" s="112">
        <v>2167202</v>
      </c>
      <c r="B2714" s="110" t="s">
        <v>633</v>
      </c>
    </row>
    <row r="2715" spans="1:2">
      <c r="A2715" s="112">
        <v>2167203</v>
      </c>
      <c r="B2715" s="110" t="s">
        <v>576</v>
      </c>
    </row>
    <row r="2716" spans="1:2">
      <c r="A2716" s="112">
        <v>2170000</v>
      </c>
      <c r="B2716" s="110" t="s">
        <v>939</v>
      </c>
    </row>
    <row r="2717" spans="1:2">
      <c r="A2717" s="112">
        <v>2180000</v>
      </c>
      <c r="B2717" s="110" t="s">
        <v>1035</v>
      </c>
    </row>
    <row r="2718" spans="1:2" ht="25.5">
      <c r="A2718" s="112">
        <v>2180100</v>
      </c>
      <c r="B2718" s="110" t="s">
        <v>1602</v>
      </c>
    </row>
    <row r="2719" spans="1:2" ht="25.5">
      <c r="A2719" s="112">
        <v>2180200</v>
      </c>
      <c r="B2719" s="110" t="s">
        <v>615</v>
      </c>
    </row>
    <row r="2720" spans="1:2" ht="25.5">
      <c r="A2720" s="112">
        <v>2180300</v>
      </c>
      <c r="B2720" s="110" t="s">
        <v>940</v>
      </c>
    </row>
    <row r="2721" spans="1:2">
      <c r="A2721" s="112">
        <v>2190000</v>
      </c>
      <c r="B2721" s="110" t="s">
        <v>1036</v>
      </c>
    </row>
    <row r="2722" spans="1:2">
      <c r="A2722" s="112">
        <v>2190100</v>
      </c>
      <c r="B2722" s="110" t="s">
        <v>562</v>
      </c>
    </row>
    <row r="2723" spans="1:2">
      <c r="A2723" s="112">
        <v>2200000</v>
      </c>
      <c r="B2723" s="110" t="s">
        <v>307</v>
      </c>
    </row>
    <row r="2724" spans="1:2">
      <c r="A2724" s="112">
        <v>2200100</v>
      </c>
      <c r="B2724" s="110" t="s">
        <v>563</v>
      </c>
    </row>
    <row r="2725" spans="1:2">
      <c r="A2725" s="112">
        <v>2200200</v>
      </c>
      <c r="B2725" s="110" t="s">
        <v>279</v>
      </c>
    </row>
    <row r="2726" spans="1:2">
      <c r="A2726" s="112">
        <v>2200300</v>
      </c>
      <c r="B2726" s="110" t="s">
        <v>652</v>
      </c>
    </row>
    <row r="2727" spans="1:2">
      <c r="A2727" s="112">
        <v>2200400</v>
      </c>
      <c r="B2727" s="110" t="s">
        <v>653</v>
      </c>
    </row>
    <row r="2728" spans="1:2">
      <c r="A2728" s="112">
        <v>2200500</v>
      </c>
      <c r="B2728" s="110" t="s">
        <v>941</v>
      </c>
    </row>
    <row r="2729" spans="1:2">
      <c r="A2729" s="112">
        <v>2200600</v>
      </c>
      <c r="B2729" s="110" t="s">
        <v>1434</v>
      </c>
    </row>
    <row r="2730" spans="1:2">
      <c r="A2730" s="112">
        <v>2210000</v>
      </c>
      <c r="B2730" s="110" t="s">
        <v>1393</v>
      </c>
    </row>
    <row r="2731" spans="1:2">
      <c r="A2731" s="112">
        <v>2210100</v>
      </c>
      <c r="B2731" s="110" t="s">
        <v>1254</v>
      </c>
    </row>
    <row r="2732" spans="1:2">
      <c r="A2732" s="112">
        <v>2219900</v>
      </c>
      <c r="B2732" s="110" t="s">
        <v>52</v>
      </c>
    </row>
    <row r="2733" spans="1:2" ht="25.5">
      <c r="A2733" s="112">
        <v>2220000</v>
      </c>
      <c r="B2733" s="110" t="s">
        <v>1255</v>
      </c>
    </row>
    <row r="2734" spans="1:2">
      <c r="A2734" s="112">
        <v>2220100</v>
      </c>
      <c r="B2734" s="110" t="s">
        <v>672</v>
      </c>
    </row>
    <row r="2735" spans="1:2" ht="25.5">
      <c r="A2735" s="112">
        <v>2220200</v>
      </c>
      <c r="B2735" s="110" t="s">
        <v>210</v>
      </c>
    </row>
    <row r="2736" spans="1:2" ht="25.5">
      <c r="A2736" s="112">
        <v>2220300</v>
      </c>
      <c r="B2736" s="110" t="s">
        <v>1435</v>
      </c>
    </row>
    <row r="2737" spans="1:2">
      <c r="A2737" s="112">
        <v>2230000</v>
      </c>
      <c r="B2737" s="110" t="s">
        <v>721</v>
      </c>
    </row>
    <row r="2738" spans="1:2">
      <c r="A2738" s="112">
        <v>2230100</v>
      </c>
      <c r="B2738" s="110" t="s">
        <v>1332</v>
      </c>
    </row>
    <row r="2739" spans="1:2" ht="25.5">
      <c r="A2739" s="112">
        <v>2240000</v>
      </c>
      <c r="B2739" s="110" t="s">
        <v>1692</v>
      </c>
    </row>
    <row r="2740" spans="1:2">
      <c r="A2740" s="112">
        <v>2240100</v>
      </c>
      <c r="B2740" s="110" t="s">
        <v>1436</v>
      </c>
    </row>
    <row r="2741" spans="1:2">
      <c r="A2741" s="112">
        <v>2240200</v>
      </c>
      <c r="B2741" s="110" t="s">
        <v>1437</v>
      </c>
    </row>
    <row r="2742" spans="1:2">
      <c r="A2742" s="112">
        <v>2240300</v>
      </c>
      <c r="B2742" s="110" t="s">
        <v>1438</v>
      </c>
    </row>
    <row r="2743" spans="1:2">
      <c r="A2743" s="112">
        <v>2400000</v>
      </c>
      <c r="B2743" s="110" t="s">
        <v>1439</v>
      </c>
    </row>
    <row r="2744" spans="1:2">
      <c r="A2744" s="112">
        <v>2400100</v>
      </c>
      <c r="B2744" s="110" t="s">
        <v>1440</v>
      </c>
    </row>
    <row r="2745" spans="1:2">
      <c r="A2745" s="112">
        <v>2400101</v>
      </c>
      <c r="B2745" s="110" t="s">
        <v>1912</v>
      </c>
    </row>
    <row r="2746" spans="1:2">
      <c r="A2746" s="112">
        <v>2470000</v>
      </c>
      <c r="B2746" s="110" t="s">
        <v>1326</v>
      </c>
    </row>
    <row r="2747" spans="1:2" ht="25.5">
      <c r="A2747" s="112">
        <v>2470100</v>
      </c>
      <c r="B2747" s="110" t="s">
        <v>892</v>
      </c>
    </row>
    <row r="2748" spans="1:2">
      <c r="A2748" s="112">
        <v>2470200</v>
      </c>
      <c r="B2748" s="110" t="s">
        <v>893</v>
      </c>
    </row>
    <row r="2749" spans="1:2">
      <c r="A2749" s="112">
        <v>2470700</v>
      </c>
      <c r="B2749" s="110" t="s">
        <v>891</v>
      </c>
    </row>
    <row r="2750" spans="1:2">
      <c r="A2750" s="112">
        <v>2476300</v>
      </c>
      <c r="B2750" s="110" t="s">
        <v>920</v>
      </c>
    </row>
    <row r="2751" spans="1:2">
      <c r="A2751" s="112">
        <v>2476500</v>
      </c>
      <c r="B2751" s="110" t="s">
        <v>292</v>
      </c>
    </row>
    <row r="2752" spans="1:2">
      <c r="A2752" s="112">
        <v>2476600</v>
      </c>
      <c r="B2752" s="110" t="s">
        <v>424</v>
      </c>
    </row>
    <row r="2753" spans="1:2">
      <c r="A2753" s="112">
        <v>2476700</v>
      </c>
      <c r="B2753" s="110" t="s">
        <v>48</v>
      </c>
    </row>
    <row r="2754" spans="1:2">
      <c r="A2754" s="112">
        <v>2479900</v>
      </c>
      <c r="B2754" s="110" t="s">
        <v>52</v>
      </c>
    </row>
    <row r="2755" spans="1:2">
      <c r="A2755" s="112">
        <v>2480000</v>
      </c>
      <c r="B2755" s="110" t="s">
        <v>479</v>
      </c>
    </row>
    <row r="2756" spans="1:2">
      <c r="A2756" s="112">
        <v>2480100</v>
      </c>
      <c r="B2756" s="110" t="s">
        <v>894</v>
      </c>
    </row>
    <row r="2757" spans="1:2" ht="25.5">
      <c r="A2757" s="112">
        <v>2480200</v>
      </c>
      <c r="B2757" s="110" t="s">
        <v>1078</v>
      </c>
    </row>
    <row r="2758" spans="1:2">
      <c r="A2758" s="112">
        <v>2480300</v>
      </c>
      <c r="B2758" s="110" t="s">
        <v>175</v>
      </c>
    </row>
    <row r="2759" spans="1:2" ht="63.75">
      <c r="A2759" s="112">
        <v>2480400</v>
      </c>
      <c r="B2759" s="111" t="s">
        <v>1913</v>
      </c>
    </row>
    <row r="2760" spans="1:2">
      <c r="A2760" s="112">
        <v>2488300</v>
      </c>
      <c r="B2760" s="110" t="s">
        <v>176</v>
      </c>
    </row>
    <row r="2761" spans="1:2">
      <c r="A2761" s="112">
        <v>2490000</v>
      </c>
      <c r="B2761" s="110" t="s">
        <v>583</v>
      </c>
    </row>
    <row r="2762" spans="1:2" ht="25.5">
      <c r="A2762" s="112">
        <v>2490100</v>
      </c>
      <c r="B2762" s="110" t="s">
        <v>1914</v>
      </c>
    </row>
    <row r="2763" spans="1:2">
      <c r="A2763" s="112">
        <v>2490200</v>
      </c>
      <c r="B2763" s="110" t="s">
        <v>1915</v>
      </c>
    </row>
    <row r="2764" spans="1:2">
      <c r="A2764" s="112">
        <v>2500000</v>
      </c>
      <c r="B2764" s="110" t="s">
        <v>584</v>
      </c>
    </row>
    <row r="2765" spans="1:2">
      <c r="A2765" s="112">
        <v>2500100</v>
      </c>
      <c r="B2765" s="110" t="s">
        <v>1469</v>
      </c>
    </row>
    <row r="2766" spans="1:2">
      <c r="A2766" s="112">
        <v>2510000</v>
      </c>
      <c r="B2766" s="110" t="s">
        <v>585</v>
      </c>
    </row>
    <row r="2767" spans="1:2">
      <c r="A2767" s="112">
        <v>2519900</v>
      </c>
      <c r="B2767" s="110" t="s">
        <v>52</v>
      </c>
    </row>
    <row r="2768" spans="1:2">
      <c r="A2768" s="112">
        <v>2520000</v>
      </c>
      <c r="B2768" s="110" t="s">
        <v>1916</v>
      </c>
    </row>
    <row r="2769" spans="1:2">
      <c r="A2769" s="112">
        <v>2529900</v>
      </c>
      <c r="B2769" s="110" t="s">
        <v>52</v>
      </c>
    </row>
    <row r="2770" spans="1:2">
      <c r="A2770" s="112">
        <v>2530000</v>
      </c>
      <c r="B2770" s="110" t="s">
        <v>1148</v>
      </c>
    </row>
    <row r="2771" spans="1:2">
      <c r="A2771" s="112">
        <v>2539900</v>
      </c>
      <c r="B2771" s="110" t="s">
        <v>52</v>
      </c>
    </row>
    <row r="2772" spans="1:2">
      <c r="A2772" s="112">
        <v>2540000</v>
      </c>
      <c r="B2772" s="110" t="s">
        <v>1917</v>
      </c>
    </row>
    <row r="2773" spans="1:2" ht="25.5">
      <c r="A2773" s="112">
        <v>2540100</v>
      </c>
      <c r="B2773" s="110" t="s">
        <v>1918</v>
      </c>
    </row>
    <row r="2774" spans="1:2">
      <c r="A2774" s="112">
        <v>2600000</v>
      </c>
      <c r="B2774" s="110" t="s">
        <v>564</v>
      </c>
    </row>
    <row r="2775" spans="1:2" ht="63.75">
      <c r="A2775" s="112">
        <v>2600100</v>
      </c>
      <c r="B2775" s="111" t="s">
        <v>431</v>
      </c>
    </row>
    <row r="2776" spans="1:2" ht="51">
      <c r="A2776" s="112">
        <v>2600200</v>
      </c>
      <c r="B2776" s="111" t="s">
        <v>944</v>
      </c>
    </row>
    <row r="2777" spans="1:2" ht="38.25">
      <c r="A2777" s="112">
        <v>2600300</v>
      </c>
      <c r="B2777" s="111" t="s">
        <v>1919</v>
      </c>
    </row>
    <row r="2778" spans="1:2">
      <c r="A2778" s="112">
        <v>2600400</v>
      </c>
      <c r="B2778" s="110" t="s">
        <v>945</v>
      </c>
    </row>
    <row r="2779" spans="1:2" ht="51">
      <c r="A2779" s="112">
        <v>2600500</v>
      </c>
      <c r="B2779" s="111" t="s">
        <v>343</v>
      </c>
    </row>
    <row r="2780" spans="1:2">
      <c r="A2780" s="112">
        <v>2600600</v>
      </c>
      <c r="B2780" s="110" t="s">
        <v>670</v>
      </c>
    </row>
    <row r="2781" spans="1:2">
      <c r="A2781" s="112">
        <v>2600700</v>
      </c>
      <c r="B2781" s="110" t="s">
        <v>1335</v>
      </c>
    </row>
    <row r="2782" spans="1:2">
      <c r="A2782" s="112">
        <v>2600800</v>
      </c>
      <c r="B2782" s="110" t="s">
        <v>943</v>
      </c>
    </row>
    <row r="2783" spans="1:2">
      <c r="A2783" s="112">
        <v>2600900</v>
      </c>
      <c r="B2783" s="110" t="s">
        <v>1441</v>
      </c>
    </row>
    <row r="2784" spans="1:2">
      <c r="A2784" s="112">
        <v>2601000</v>
      </c>
      <c r="B2784" s="110" t="s">
        <v>676</v>
      </c>
    </row>
    <row r="2785" spans="1:2" ht="25.5">
      <c r="A2785" s="112">
        <v>2601100</v>
      </c>
      <c r="B2785" s="110" t="s">
        <v>794</v>
      </c>
    </row>
    <row r="2786" spans="1:2">
      <c r="A2786" s="112">
        <v>2601200</v>
      </c>
      <c r="B2786" s="110" t="s">
        <v>795</v>
      </c>
    </row>
    <row r="2787" spans="1:2">
      <c r="A2787" s="112">
        <v>2601300</v>
      </c>
      <c r="B2787" s="110" t="s">
        <v>796</v>
      </c>
    </row>
    <row r="2788" spans="1:2" ht="63.75">
      <c r="A2788" s="112">
        <v>2601400</v>
      </c>
      <c r="B2788" s="111" t="s">
        <v>970</v>
      </c>
    </row>
    <row r="2789" spans="1:2" ht="63.75">
      <c r="A2789" s="112">
        <v>2601500</v>
      </c>
      <c r="B2789" s="111" t="s">
        <v>1920</v>
      </c>
    </row>
    <row r="2790" spans="1:2" ht="25.5">
      <c r="A2790" s="112">
        <v>2602400</v>
      </c>
      <c r="B2790" s="110" t="s">
        <v>1921</v>
      </c>
    </row>
    <row r="2791" spans="1:2" ht="25.5">
      <c r="A2791" s="112">
        <v>2610000</v>
      </c>
      <c r="B2791" s="110" t="s">
        <v>1922</v>
      </c>
    </row>
    <row r="2792" spans="1:2">
      <c r="A2792" s="112">
        <v>2619900</v>
      </c>
      <c r="B2792" s="110" t="s">
        <v>52</v>
      </c>
    </row>
    <row r="2793" spans="1:2">
      <c r="A2793" s="112">
        <v>2620000</v>
      </c>
      <c r="B2793" s="110" t="s">
        <v>1509</v>
      </c>
    </row>
    <row r="2794" spans="1:2" ht="25.5">
      <c r="A2794" s="112">
        <v>2620100</v>
      </c>
      <c r="B2794" s="110" t="s">
        <v>1923</v>
      </c>
    </row>
    <row r="2795" spans="1:2">
      <c r="A2795" s="112">
        <v>2620200</v>
      </c>
      <c r="B2795" s="110" t="s">
        <v>341</v>
      </c>
    </row>
    <row r="2796" spans="1:2">
      <c r="A2796" s="112">
        <v>2630000</v>
      </c>
      <c r="B2796" s="110" t="s">
        <v>456</v>
      </c>
    </row>
    <row r="2797" spans="1:2">
      <c r="A2797" s="112">
        <v>2639900</v>
      </c>
      <c r="B2797" s="110" t="s">
        <v>52</v>
      </c>
    </row>
    <row r="2798" spans="1:2">
      <c r="A2798" s="112">
        <v>2640000</v>
      </c>
      <c r="B2798" s="110" t="s">
        <v>342</v>
      </c>
    </row>
    <row r="2799" spans="1:2">
      <c r="A2799" s="112">
        <v>2640100</v>
      </c>
      <c r="B2799" s="110" t="s">
        <v>1924</v>
      </c>
    </row>
    <row r="2800" spans="1:2" ht="25.5">
      <c r="A2800" s="112">
        <v>2640200</v>
      </c>
      <c r="B2800" s="110" t="s">
        <v>1925</v>
      </c>
    </row>
    <row r="2801" spans="1:2">
      <c r="A2801" s="112">
        <v>2649900</v>
      </c>
      <c r="B2801" s="110" t="s">
        <v>52</v>
      </c>
    </row>
    <row r="2802" spans="1:2">
      <c r="A2802" s="112">
        <v>2650000</v>
      </c>
      <c r="B2802" s="110" t="s">
        <v>1926</v>
      </c>
    </row>
    <row r="2803" spans="1:2">
      <c r="A2803" s="112">
        <v>2659900</v>
      </c>
      <c r="B2803" s="110" t="s">
        <v>52</v>
      </c>
    </row>
    <row r="2804" spans="1:2" ht="25.5">
      <c r="A2804" s="112">
        <v>2660000</v>
      </c>
      <c r="B2804" s="110" t="s">
        <v>1927</v>
      </c>
    </row>
    <row r="2805" spans="1:2">
      <c r="A2805" s="112">
        <v>2669900</v>
      </c>
      <c r="B2805" s="110" t="s">
        <v>52</v>
      </c>
    </row>
    <row r="2806" spans="1:2" ht="25.5">
      <c r="A2806" s="112">
        <v>2670000</v>
      </c>
      <c r="B2806" s="110" t="s">
        <v>1928</v>
      </c>
    </row>
    <row r="2807" spans="1:2">
      <c r="A2807" s="112">
        <v>2670100</v>
      </c>
      <c r="B2807" s="110" t="s">
        <v>928</v>
      </c>
    </row>
    <row r="2808" spans="1:2" ht="25.5">
      <c r="A2808" s="112">
        <v>2670400</v>
      </c>
      <c r="B2808" s="110" t="s">
        <v>1929</v>
      </c>
    </row>
    <row r="2809" spans="1:2">
      <c r="A2809" s="112">
        <v>2670402</v>
      </c>
      <c r="B2809" s="110" t="s">
        <v>945</v>
      </c>
    </row>
    <row r="2810" spans="1:2">
      <c r="A2810" s="112">
        <v>2670403</v>
      </c>
      <c r="B2810" s="110" t="s">
        <v>973</v>
      </c>
    </row>
    <row r="2811" spans="1:2">
      <c r="A2811" s="112">
        <v>2670500</v>
      </c>
      <c r="B2811" s="110" t="s">
        <v>974</v>
      </c>
    </row>
    <row r="2812" spans="1:2" ht="51">
      <c r="A2812" s="112">
        <v>2670501</v>
      </c>
      <c r="B2812" s="111" t="s">
        <v>975</v>
      </c>
    </row>
    <row r="2813" spans="1:2">
      <c r="A2813" s="112">
        <v>2670502</v>
      </c>
      <c r="B2813" s="110" t="s">
        <v>976</v>
      </c>
    </row>
    <row r="2814" spans="1:2">
      <c r="A2814" s="112">
        <v>2670503</v>
      </c>
      <c r="B2814" s="110" t="s">
        <v>977</v>
      </c>
    </row>
    <row r="2815" spans="1:2" ht="25.5">
      <c r="A2815" s="112">
        <v>2670504</v>
      </c>
      <c r="B2815" s="110" t="s">
        <v>978</v>
      </c>
    </row>
    <row r="2816" spans="1:2">
      <c r="A2816" s="112">
        <v>2670505</v>
      </c>
      <c r="B2816" s="110" t="s">
        <v>979</v>
      </c>
    </row>
    <row r="2817" spans="1:2">
      <c r="A2817" s="112">
        <v>2670506</v>
      </c>
      <c r="B2817" s="110" t="s">
        <v>980</v>
      </c>
    </row>
    <row r="2818" spans="1:2" ht="25.5">
      <c r="A2818" s="112">
        <v>2670507</v>
      </c>
      <c r="B2818" s="110" t="s">
        <v>981</v>
      </c>
    </row>
    <row r="2819" spans="1:2">
      <c r="A2819" s="112">
        <v>2670508</v>
      </c>
      <c r="B2819" s="110" t="s">
        <v>370</v>
      </c>
    </row>
    <row r="2820" spans="1:2">
      <c r="A2820" s="112">
        <v>2670509</v>
      </c>
      <c r="B2820" s="110" t="s">
        <v>371</v>
      </c>
    </row>
    <row r="2821" spans="1:2" ht="63.75">
      <c r="A2821" s="112">
        <v>2670510</v>
      </c>
      <c r="B2821" s="111" t="s">
        <v>991</v>
      </c>
    </row>
    <row r="2822" spans="1:2">
      <c r="A2822" s="112">
        <v>2670511</v>
      </c>
      <c r="B2822" s="110" t="s">
        <v>404</v>
      </c>
    </row>
    <row r="2823" spans="1:2" ht="63.75">
      <c r="A2823" s="112">
        <v>2670513</v>
      </c>
      <c r="B2823" s="111" t="s">
        <v>405</v>
      </c>
    </row>
    <row r="2824" spans="1:2">
      <c r="A2824" s="112">
        <v>2670514</v>
      </c>
      <c r="B2824" s="110" t="s">
        <v>406</v>
      </c>
    </row>
    <row r="2825" spans="1:2">
      <c r="A2825" s="112">
        <v>2670515</v>
      </c>
      <c r="B2825" s="110" t="s">
        <v>407</v>
      </c>
    </row>
    <row r="2826" spans="1:2" ht="25.5">
      <c r="A2826" s="112">
        <v>2670600</v>
      </c>
      <c r="B2826" s="110" t="s">
        <v>408</v>
      </c>
    </row>
    <row r="2827" spans="1:2">
      <c r="A2827" s="112">
        <v>2700000</v>
      </c>
      <c r="B2827" s="110" t="s">
        <v>367</v>
      </c>
    </row>
    <row r="2828" spans="1:2">
      <c r="A2828" s="112">
        <v>2700100</v>
      </c>
      <c r="B2828" s="110" t="s">
        <v>929</v>
      </c>
    </row>
    <row r="2829" spans="1:2">
      <c r="A2829" s="112">
        <v>2700200</v>
      </c>
      <c r="B2829" s="110" t="s">
        <v>248</v>
      </c>
    </row>
    <row r="2830" spans="1:2">
      <c r="A2830" s="112">
        <v>2700300</v>
      </c>
      <c r="B2830" s="110" t="s">
        <v>409</v>
      </c>
    </row>
    <row r="2831" spans="1:2">
      <c r="A2831" s="112">
        <v>2700400</v>
      </c>
      <c r="B2831" s="110" t="s">
        <v>310</v>
      </c>
    </row>
    <row r="2832" spans="1:2" ht="38.25">
      <c r="A2832" s="112">
        <v>2700500</v>
      </c>
      <c r="B2832" s="111" t="s">
        <v>410</v>
      </c>
    </row>
    <row r="2833" spans="1:2" ht="38.25">
      <c r="A2833" s="112">
        <v>2700600</v>
      </c>
      <c r="B2833" s="111" t="s">
        <v>1011</v>
      </c>
    </row>
    <row r="2834" spans="1:2" ht="38.25">
      <c r="A2834" s="112">
        <v>2700700</v>
      </c>
      <c r="B2834" s="111" t="s">
        <v>1012</v>
      </c>
    </row>
    <row r="2835" spans="1:2">
      <c r="A2835" s="112">
        <v>2710000</v>
      </c>
      <c r="B2835" s="110" t="s">
        <v>1541</v>
      </c>
    </row>
    <row r="2836" spans="1:2">
      <c r="A2836" s="112">
        <v>2710100</v>
      </c>
      <c r="B2836" s="110" t="s">
        <v>187</v>
      </c>
    </row>
    <row r="2837" spans="1:2">
      <c r="A2837" s="112">
        <v>2719900</v>
      </c>
      <c r="B2837" s="110" t="s">
        <v>52</v>
      </c>
    </row>
    <row r="2838" spans="1:2">
      <c r="A2838" s="112">
        <v>2800000</v>
      </c>
      <c r="B2838" s="110" t="s">
        <v>1542</v>
      </c>
    </row>
    <row r="2839" spans="1:2">
      <c r="A2839" s="112">
        <v>2800100</v>
      </c>
      <c r="B2839" s="110" t="s">
        <v>625</v>
      </c>
    </row>
    <row r="2840" spans="1:2">
      <c r="A2840" s="112">
        <v>2800200</v>
      </c>
      <c r="B2840" s="110" t="s">
        <v>813</v>
      </c>
    </row>
    <row r="2841" spans="1:2" ht="25.5">
      <c r="A2841" s="112">
        <v>2800300</v>
      </c>
      <c r="B2841" s="110" t="s">
        <v>1839</v>
      </c>
    </row>
    <row r="2842" spans="1:2">
      <c r="A2842" s="112">
        <v>2800400</v>
      </c>
      <c r="B2842" s="110" t="s">
        <v>1329</v>
      </c>
    </row>
    <row r="2843" spans="1:2">
      <c r="A2843" s="112">
        <v>2800500</v>
      </c>
      <c r="B2843" s="110" t="s">
        <v>1013</v>
      </c>
    </row>
    <row r="2844" spans="1:2">
      <c r="A2844" s="112">
        <v>2810000</v>
      </c>
      <c r="B2844" s="110" t="s">
        <v>253</v>
      </c>
    </row>
    <row r="2845" spans="1:2">
      <c r="A2845" s="112">
        <v>2819900</v>
      </c>
      <c r="B2845" s="110" t="s">
        <v>52</v>
      </c>
    </row>
    <row r="2846" spans="1:2">
      <c r="A2846" s="112">
        <v>2910000</v>
      </c>
      <c r="B2846" s="110" t="s">
        <v>13</v>
      </c>
    </row>
    <row r="2847" spans="1:2">
      <c r="A2847" s="112">
        <v>2919900</v>
      </c>
      <c r="B2847" s="110" t="s">
        <v>52</v>
      </c>
    </row>
    <row r="2848" spans="1:2">
      <c r="A2848" s="112">
        <v>2920000</v>
      </c>
      <c r="B2848" s="110" t="s">
        <v>14</v>
      </c>
    </row>
    <row r="2849" spans="1:2">
      <c r="A2849" s="112">
        <v>2920100</v>
      </c>
      <c r="B2849" s="110" t="s">
        <v>1147</v>
      </c>
    </row>
    <row r="2850" spans="1:2">
      <c r="A2850" s="112">
        <v>2920200</v>
      </c>
      <c r="B2850" s="110" t="s">
        <v>1504</v>
      </c>
    </row>
    <row r="2851" spans="1:2">
      <c r="A2851" s="112">
        <v>3000000</v>
      </c>
      <c r="B2851" s="110" t="s">
        <v>1475</v>
      </c>
    </row>
    <row r="2852" spans="1:2">
      <c r="A2852" s="112">
        <v>3000100</v>
      </c>
      <c r="B2852" s="110" t="s">
        <v>879</v>
      </c>
    </row>
    <row r="2853" spans="1:2">
      <c r="A2853" s="112">
        <v>3000101</v>
      </c>
      <c r="B2853" s="110" t="s">
        <v>419</v>
      </c>
    </row>
    <row r="2854" spans="1:2">
      <c r="A2854" s="112">
        <v>3000102</v>
      </c>
      <c r="B2854" s="110" t="s">
        <v>89</v>
      </c>
    </row>
    <row r="2855" spans="1:2" ht="38.25">
      <c r="A2855" s="112">
        <v>3000103</v>
      </c>
      <c r="B2855" s="110" t="s">
        <v>1505</v>
      </c>
    </row>
    <row r="2856" spans="1:2" ht="25.5">
      <c r="A2856" s="112">
        <v>3000104</v>
      </c>
      <c r="B2856" s="110" t="s">
        <v>1762</v>
      </c>
    </row>
    <row r="2857" spans="1:2">
      <c r="A2857" s="112">
        <v>3000105</v>
      </c>
      <c r="B2857" s="110" t="s">
        <v>1763</v>
      </c>
    </row>
    <row r="2858" spans="1:2">
      <c r="A2858" s="112">
        <v>3000200</v>
      </c>
      <c r="B2858" s="110" t="s">
        <v>90</v>
      </c>
    </row>
    <row r="2859" spans="1:2">
      <c r="A2859" s="112">
        <v>3000201</v>
      </c>
      <c r="B2859" s="110" t="s">
        <v>37</v>
      </c>
    </row>
    <row r="2860" spans="1:2">
      <c r="A2860" s="112">
        <v>3000202</v>
      </c>
      <c r="B2860" s="110" t="s">
        <v>1764</v>
      </c>
    </row>
    <row r="2861" spans="1:2" ht="51">
      <c r="A2861" s="112">
        <v>3000203</v>
      </c>
      <c r="B2861" s="111" t="s">
        <v>1021</v>
      </c>
    </row>
    <row r="2862" spans="1:2">
      <c r="A2862" s="112">
        <v>3000204</v>
      </c>
      <c r="B2862" s="110" t="s">
        <v>1765</v>
      </c>
    </row>
    <row r="2863" spans="1:2" ht="25.5">
      <c r="A2863" s="112">
        <v>3000205</v>
      </c>
      <c r="B2863" s="110" t="s">
        <v>1766</v>
      </c>
    </row>
    <row r="2864" spans="1:2" ht="38.25">
      <c r="A2864" s="112">
        <v>3000206</v>
      </c>
      <c r="B2864" s="110" t="s">
        <v>1865</v>
      </c>
    </row>
    <row r="2865" spans="1:2" ht="38.25">
      <c r="A2865" s="112">
        <v>3000207</v>
      </c>
      <c r="B2865" s="111" t="s">
        <v>1767</v>
      </c>
    </row>
    <row r="2866" spans="1:2" ht="25.5">
      <c r="A2866" s="112">
        <v>3000208</v>
      </c>
      <c r="B2866" s="110" t="s">
        <v>1768</v>
      </c>
    </row>
    <row r="2867" spans="1:2" ht="25.5">
      <c r="A2867" s="112">
        <v>3000209</v>
      </c>
      <c r="B2867" s="110" t="s">
        <v>401</v>
      </c>
    </row>
    <row r="2868" spans="1:2" ht="25.5">
      <c r="A2868" s="112">
        <v>3000300</v>
      </c>
      <c r="B2868" s="110" t="s">
        <v>402</v>
      </c>
    </row>
    <row r="2869" spans="1:2">
      <c r="A2869" s="112">
        <v>3010000</v>
      </c>
      <c r="B2869" s="110" t="s">
        <v>1022</v>
      </c>
    </row>
    <row r="2870" spans="1:2">
      <c r="A2870" s="112">
        <v>3010100</v>
      </c>
      <c r="B2870" s="110" t="s">
        <v>1023</v>
      </c>
    </row>
    <row r="2871" spans="1:2">
      <c r="A2871" s="112">
        <v>3010101</v>
      </c>
      <c r="B2871" s="110" t="s">
        <v>1024</v>
      </c>
    </row>
    <row r="2872" spans="1:2">
      <c r="A2872" s="112">
        <v>3010200</v>
      </c>
      <c r="B2872" s="110" t="s">
        <v>627</v>
      </c>
    </row>
    <row r="2873" spans="1:2">
      <c r="A2873" s="112">
        <v>3010201</v>
      </c>
      <c r="B2873" s="110" t="s">
        <v>1269</v>
      </c>
    </row>
    <row r="2874" spans="1:2">
      <c r="A2874" s="112">
        <v>3010202</v>
      </c>
      <c r="B2874" s="110" t="s">
        <v>931</v>
      </c>
    </row>
    <row r="2875" spans="1:2">
      <c r="A2875" s="112">
        <v>3010300</v>
      </c>
      <c r="B2875" s="110" t="s">
        <v>797</v>
      </c>
    </row>
    <row r="2876" spans="1:2">
      <c r="A2876" s="112">
        <v>3010301</v>
      </c>
      <c r="B2876" s="110" t="s">
        <v>482</v>
      </c>
    </row>
    <row r="2877" spans="1:2">
      <c r="A2877" s="112">
        <v>3010302</v>
      </c>
      <c r="B2877" s="110" t="s">
        <v>285</v>
      </c>
    </row>
    <row r="2878" spans="1:2">
      <c r="A2878" s="112">
        <v>3010303</v>
      </c>
      <c r="B2878" s="110" t="s">
        <v>824</v>
      </c>
    </row>
    <row r="2879" spans="1:2" ht="25.5">
      <c r="A2879" s="112">
        <v>3010304</v>
      </c>
      <c r="B2879" s="110" t="s">
        <v>403</v>
      </c>
    </row>
    <row r="2880" spans="1:2">
      <c r="A2880" s="112">
        <v>3017100</v>
      </c>
      <c r="B2880" s="110" t="s">
        <v>897</v>
      </c>
    </row>
    <row r="2881" spans="1:2">
      <c r="A2881" s="112">
        <v>3017101</v>
      </c>
      <c r="B2881" s="110" t="s">
        <v>289</v>
      </c>
    </row>
    <row r="2882" spans="1:2">
      <c r="A2882" s="112">
        <v>3017102</v>
      </c>
      <c r="B2882" s="110" t="s">
        <v>167</v>
      </c>
    </row>
    <row r="2883" spans="1:2">
      <c r="A2883" s="112">
        <v>3017103</v>
      </c>
      <c r="B2883" s="110" t="s">
        <v>168</v>
      </c>
    </row>
    <row r="2884" spans="1:2">
      <c r="A2884" s="112">
        <v>3017200</v>
      </c>
      <c r="B2884" s="110" t="s">
        <v>231</v>
      </c>
    </row>
    <row r="2885" spans="1:2">
      <c r="A2885" s="112">
        <v>3017201</v>
      </c>
      <c r="B2885" s="110" t="s">
        <v>632</v>
      </c>
    </row>
    <row r="2886" spans="1:2">
      <c r="A2886" s="112">
        <v>3017202</v>
      </c>
      <c r="B2886" s="110" t="s">
        <v>633</v>
      </c>
    </row>
    <row r="2887" spans="1:2">
      <c r="A2887" s="112">
        <v>3017203</v>
      </c>
      <c r="B2887" s="110" t="s">
        <v>576</v>
      </c>
    </row>
    <row r="2888" spans="1:2">
      <c r="A2888" s="112">
        <v>3020000</v>
      </c>
      <c r="B2888" s="110" t="s">
        <v>1269</v>
      </c>
    </row>
    <row r="2889" spans="1:2">
      <c r="A2889" s="112">
        <v>3020100</v>
      </c>
      <c r="B2889" s="110" t="s">
        <v>723</v>
      </c>
    </row>
    <row r="2890" spans="1:2">
      <c r="A2890" s="112">
        <v>3026800</v>
      </c>
      <c r="B2890" s="110" t="s">
        <v>618</v>
      </c>
    </row>
    <row r="2891" spans="1:2">
      <c r="A2891" s="112">
        <v>3026801</v>
      </c>
      <c r="B2891" s="110" t="s">
        <v>386</v>
      </c>
    </row>
    <row r="2892" spans="1:2" ht="25.5">
      <c r="A2892" s="112">
        <v>3026802</v>
      </c>
      <c r="B2892" s="110" t="s">
        <v>160</v>
      </c>
    </row>
    <row r="2893" spans="1:2">
      <c r="A2893" s="112">
        <v>3027100</v>
      </c>
      <c r="B2893" s="110" t="s">
        <v>897</v>
      </c>
    </row>
    <row r="2894" spans="1:2">
      <c r="A2894" s="112">
        <v>3027101</v>
      </c>
      <c r="B2894" s="110" t="s">
        <v>289</v>
      </c>
    </row>
    <row r="2895" spans="1:2">
      <c r="A2895" s="112">
        <v>3027102</v>
      </c>
      <c r="B2895" s="110" t="s">
        <v>167</v>
      </c>
    </row>
    <row r="2896" spans="1:2">
      <c r="A2896" s="112">
        <v>3027103</v>
      </c>
      <c r="B2896" s="110" t="s">
        <v>168</v>
      </c>
    </row>
    <row r="2897" spans="1:2">
      <c r="A2897" s="112">
        <v>3027200</v>
      </c>
      <c r="B2897" s="110" t="s">
        <v>231</v>
      </c>
    </row>
    <row r="2898" spans="1:2">
      <c r="A2898" s="112">
        <v>3027201</v>
      </c>
      <c r="B2898" s="110" t="s">
        <v>632</v>
      </c>
    </row>
    <row r="2899" spans="1:2">
      <c r="A2899" s="112">
        <v>3027202</v>
      </c>
      <c r="B2899" s="110" t="s">
        <v>633</v>
      </c>
    </row>
    <row r="2900" spans="1:2">
      <c r="A2900" s="112">
        <v>3027203</v>
      </c>
      <c r="B2900" s="110" t="s">
        <v>576</v>
      </c>
    </row>
    <row r="2901" spans="1:2">
      <c r="A2901" s="112">
        <v>3029900</v>
      </c>
      <c r="B2901" s="110" t="s">
        <v>52</v>
      </c>
    </row>
    <row r="2902" spans="1:2">
      <c r="A2902" s="112">
        <v>3050000</v>
      </c>
      <c r="B2902" s="110" t="s">
        <v>1270</v>
      </c>
    </row>
    <row r="2903" spans="1:2">
      <c r="A2903" s="112">
        <v>3050100</v>
      </c>
      <c r="B2903" s="110" t="s">
        <v>1067</v>
      </c>
    </row>
    <row r="2904" spans="1:2" ht="25.5">
      <c r="A2904" s="112">
        <v>3050101</v>
      </c>
      <c r="B2904" s="110" t="s">
        <v>1324</v>
      </c>
    </row>
    <row r="2905" spans="1:2" ht="38.25">
      <c r="A2905" s="112">
        <v>3050102</v>
      </c>
      <c r="B2905" s="110" t="s">
        <v>157</v>
      </c>
    </row>
    <row r="2906" spans="1:2" ht="38.25">
      <c r="A2906" s="112">
        <v>3050103</v>
      </c>
      <c r="B2906" s="111" t="s">
        <v>0</v>
      </c>
    </row>
    <row r="2907" spans="1:2" ht="38.25">
      <c r="A2907" s="112">
        <v>3050104</v>
      </c>
      <c r="B2907" s="110" t="s">
        <v>411</v>
      </c>
    </row>
    <row r="2908" spans="1:2" ht="63.75">
      <c r="A2908" s="112">
        <v>3050105</v>
      </c>
      <c r="B2908" s="111" t="s">
        <v>1769</v>
      </c>
    </row>
    <row r="2909" spans="1:2" ht="25.5">
      <c r="A2909" s="112">
        <v>3050106</v>
      </c>
      <c r="B2909" s="110" t="s">
        <v>1553</v>
      </c>
    </row>
    <row r="2910" spans="1:2" ht="51">
      <c r="A2910" s="112">
        <v>3050107</v>
      </c>
      <c r="B2910" s="111" t="s">
        <v>1053</v>
      </c>
    </row>
    <row r="2911" spans="1:2" ht="63.75">
      <c r="A2911" s="112">
        <v>3050108</v>
      </c>
      <c r="B2911" s="111" t="s">
        <v>457</v>
      </c>
    </row>
    <row r="2912" spans="1:2" ht="38.25">
      <c r="A2912" s="112">
        <v>3050112</v>
      </c>
      <c r="B2912" s="110" t="s">
        <v>458</v>
      </c>
    </row>
    <row r="2913" spans="1:2" ht="51">
      <c r="A2913" s="112">
        <v>3050113</v>
      </c>
      <c r="B2913" s="111" t="s">
        <v>459</v>
      </c>
    </row>
    <row r="2914" spans="1:2">
      <c r="A2914" s="112">
        <v>3060000</v>
      </c>
      <c r="B2914" s="110" t="s">
        <v>460</v>
      </c>
    </row>
    <row r="2915" spans="1:2" ht="25.5">
      <c r="A2915" s="112">
        <v>3060100</v>
      </c>
      <c r="B2915" s="110" t="s">
        <v>461</v>
      </c>
    </row>
    <row r="2916" spans="1:2" ht="25.5">
      <c r="A2916" s="112">
        <v>3060200</v>
      </c>
      <c r="B2916" s="110" t="s">
        <v>462</v>
      </c>
    </row>
    <row r="2917" spans="1:2" ht="25.5">
      <c r="A2917" s="112">
        <v>3060300</v>
      </c>
      <c r="B2917" s="110" t="s">
        <v>463</v>
      </c>
    </row>
    <row r="2918" spans="1:2" ht="25.5">
      <c r="A2918" s="112">
        <v>3060400</v>
      </c>
      <c r="B2918" s="110" t="s">
        <v>464</v>
      </c>
    </row>
    <row r="2919" spans="1:2">
      <c r="A2919" s="112">
        <v>3100000</v>
      </c>
      <c r="B2919" s="110" t="s">
        <v>51</v>
      </c>
    </row>
    <row r="2920" spans="1:2">
      <c r="A2920" s="112">
        <v>3100100</v>
      </c>
      <c r="B2920" s="110" t="s">
        <v>158</v>
      </c>
    </row>
    <row r="2921" spans="1:2">
      <c r="A2921" s="112">
        <v>3100101</v>
      </c>
      <c r="B2921" s="110" t="s">
        <v>159</v>
      </c>
    </row>
    <row r="2922" spans="1:2">
      <c r="A2922" s="112">
        <v>3150000</v>
      </c>
      <c r="B2922" s="110" t="s">
        <v>366</v>
      </c>
    </row>
    <row r="2923" spans="1:2">
      <c r="A2923" s="112">
        <v>3150100</v>
      </c>
      <c r="B2923" s="110" t="s">
        <v>465</v>
      </c>
    </row>
    <row r="2924" spans="1:2">
      <c r="A2924" s="112">
        <v>3150101</v>
      </c>
      <c r="B2924" s="110" t="s">
        <v>364</v>
      </c>
    </row>
    <row r="2925" spans="1:2">
      <c r="A2925" s="112">
        <v>3150102</v>
      </c>
      <c r="B2925" s="110" t="s">
        <v>466</v>
      </c>
    </row>
    <row r="2926" spans="1:2">
      <c r="A2926" s="112">
        <v>3150200</v>
      </c>
      <c r="B2926" s="110" t="s">
        <v>1588</v>
      </c>
    </row>
    <row r="2927" spans="1:2" ht="25.5">
      <c r="A2927" s="112">
        <v>3150201</v>
      </c>
      <c r="B2927" s="110" t="s">
        <v>467</v>
      </c>
    </row>
    <row r="2928" spans="1:2">
      <c r="A2928" s="112">
        <v>3150202</v>
      </c>
      <c r="B2928" s="110" t="s">
        <v>736</v>
      </c>
    </row>
    <row r="2929" spans="1:2">
      <c r="A2929" s="112">
        <v>3150203</v>
      </c>
      <c r="B2929" s="110" t="s">
        <v>468</v>
      </c>
    </row>
    <row r="2930" spans="1:2" ht="25.5">
      <c r="A2930" s="112">
        <v>3150204</v>
      </c>
      <c r="B2930" s="110" t="s">
        <v>469</v>
      </c>
    </row>
    <row r="2931" spans="1:2" ht="25.5">
      <c r="A2931" s="112">
        <v>3150205</v>
      </c>
      <c r="B2931" s="110" t="s">
        <v>470</v>
      </c>
    </row>
    <row r="2932" spans="1:2" ht="25.5">
      <c r="A2932" s="112">
        <v>3150206</v>
      </c>
      <c r="B2932" s="110" t="s">
        <v>471</v>
      </c>
    </row>
    <row r="2933" spans="1:2">
      <c r="A2933" s="112">
        <v>3150300</v>
      </c>
      <c r="B2933" s="110" t="s">
        <v>737</v>
      </c>
    </row>
    <row r="2934" spans="1:2" ht="25.5">
      <c r="A2934" s="112">
        <v>3150301</v>
      </c>
      <c r="B2934" s="110" t="s">
        <v>1846</v>
      </c>
    </row>
    <row r="2935" spans="1:2" ht="25.5">
      <c r="A2935" s="112">
        <v>3150302</v>
      </c>
      <c r="B2935" s="110" t="s">
        <v>472</v>
      </c>
    </row>
    <row r="2936" spans="1:2">
      <c r="A2936" s="112">
        <v>3170000</v>
      </c>
      <c r="B2936" s="110" t="s">
        <v>1137</v>
      </c>
    </row>
    <row r="2937" spans="1:2">
      <c r="A2937" s="112">
        <v>3170100</v>
      </c>
      <c r="B2937" s="110" t="s">
        <v>1029</v>
      </c>
    </row>
    <row r="2938" spans="1:2" ht="25.5">
      <c r="A2938" s="112">
        <v>3170101</v>
      </c>
      <c r="B2938" s="110" t="s">
        <v>1460</v>
      </c>
    </row>
    <row r="2939" spans="1:2" ht="25.5">
      <c r="A2939" s="112">
        <v>3170110</v>
      </c>
      <c r="B2939" s="110" t="s">
        <v>1394</v>
      </c>
    </row>
    <row r="2940" spans="1:2">
      <c r="A2940" s="112">
        <v>3300000</v>
      </c>
      <c r="B2940" s="110" t="s">
        <v>924</v>
      </c>
    </row>
    <row r="2941" spans="1:2">
      <c r="A2941" s="112">
        <v>3300100</v>
      </c>
      <c r="B2941" s="110" t="s">
        <v>1205</v>
      </c>
    </row>
    <row r="2942" spans="1:2" ht="25.5">
      <c r="A2942" s="112">
        <v>3300101</v>
      </c>
      <c r="B2942" s="110" t="s">
        <v>473</v>
      </c>
    </row>
    <row r="2943" spans="1:2" ht="25.5">
      <c r="A2943" s="112">
        <v>3300102</v>
      </c>
      <c r="B2943" s="110" t="s">
        <v>474</v>
      </c>
    </row>
    <row r="2944" spans="1:2">
      <c r="A2944" s="112">
        <v>3300200</v>
      </c>
      <c r="B2944" s="110" t="s">
        <v>549</v>
      </c>
    </row>
    <row r="2945" spans="1:2">
      <c r="A2945" s="112">
        <v>3300201</v>
      </c>
      <c r="B2945" s="110" t="s">
        <v>550</v>
      </c>
    </row>
    <row r="2946" spans="1:2" ht="25.5">
      <c r="A2946" s="112">
        <v>3300202</v>
      </c>
      <c r="B2946" s="110" t="s">
        <v>208</v>
      </c>
    </row>
    <row r="2947" spans="1:2" ht="25.5">
      <c r="A2947" s="112">
        <v>3300203</v>
      </c>
      <c r="B2947" s="110" t="s">
        <v>1501</v>
      </c>
    </row>
    <row r="2948" spans="1:2">
      <c r="A2948" s="112">
        <v>3300204</v>
      </c>
      <c r="B2948" s="110" t="s">
        <v>1502</v>
      </c>
    </row>
    <row r="2949" spans="1:2">
      <c r="A2949" s="112">
        <v>3300205</v>
      </c>
      <c r="B2949" s="110" t="s">
        <v>1503</v>
      </c>
    </row>
    <row r="2950" spans="1:2">
      <c r="A2950" s="112">
        <v>3300206</v>
      </c>
      <c r="B2950" s="110" t="s">
        <v>209</v>
      </c>
    </row>
    <row r="2951" spans="1:2">
      <c r="A2951" s="112">
        <v>3300207</v>
      </c>
      <c r="B2951" s="110" t="s">
        <v>891</v>
      </c>
    </row>
    <row r="2952" spans="1:2" ht="25.5">
      <c r="A2952" s="112">
        <v>3300208</v>
      </c>
      <c r="B2952" s="110" t="s">
        <v>1793</v>
      </c>
    </row>
    <row r="2953" spans="1:2">
      <c r="A2953" s="112">
        <v>3300300</v>
      </c>
      <c r="B2953" s="110" t="s">
        <v>858</v>
      </c>
    </row>
    <row r="2954" spans="1:2">
      <c r="A2954" s="112">
        <v>3300301</v>
      </c>
      <c r="B2954" s="110" t="s">
        <v>1020</v>
      </c>
    </row>
    <row r="2955" spans="1:2">
      <c r="A2955" s="112">
        <v>3300400</v>
      </c>
      <c r="B2955" s="110" t="s">
        <v>1289</v>
      </c>
    </row>
    <row r="2956" spans="1:2">
      <c r="A2956" s="112">
        <v>3300401</v>
      </c>
      <c r="B2956" s="110" t="s">
        <v>1290</v>
      </c>
    </row>
    <row r="2957" spans="1:2" ht="38.25">
      <c r="A2957" s="112">
        <v>3300402</v>
      </c>
      <c r="B2957" s="110" t="s">
        <v>1291</v>
      </c>
    </row>
    <row r="2958" spans="1:2">
      <c r="A2958" s="112">
        <v>3300600</v>
      </c>
      <c r="B2958" s="110" t="s">
        <v>1292</v>
      </c>
    </row>
    <row r="2959" spans="1:2" ht="25.5">
      <c r="A2959" s="112">
        <v>3300700</v>
      </c>
      <c r="B2959" s="110" t="s">
        <v>1293</v>
      </c>
    </row>
    <row r="2960" spans="1:2">
      <c r="A2960" s="112">
        <v>3308200</v>
      </c>
      <c r="B2960" s="110" t="s">
        <v>1083</v>
      </c>
    </row>
    <row r="2961" spans="1:2">
      <c r="A2961" s="112">
        <v>3309900</v>
      </c>
      <c r="B2961" s="110" t="s">
        <v>52</v>
      </c>
    </row>
    <row r="2962" spans="1:2" ht="25.5">
      <c r="A2962" s="112">
        <v>3350000</v>
      </c>
      <c r="B2962" s="110" t="s">
        <v>925</v>
      </c>
    </row>
    <row r="2963" spans="1:2" ht="25.5">
      <c r="A2963" s="112">
        <v>3350100</v>
      </c>
      <c r="B2963" s="110" t="s">
        <v>306</v>
      </c>
    </row>
    <row r="2964" spans="1:2">
      <c r="A2964" s="112">
        <v>3350200</v>
      </c>
      <c r="B2964" s="110" t="s">
        <v>1332</v>
      </c>
    </row>
    <row r="2965" spans="1:2">
      <c r="A2965" s="112">
        <v>3350300</v>
      </c>
      <c r="B2965" s="110" t="s">
        <v>817</v>
      </c>
    </row>
    <row r="2966" spans="1:2">
      <c r="A2966" s="112">
        <v>3360000</v>
      </c>
      <c r="B2966" s="110" t="s">
        <v>1294</v>
      </c>
    </row>
    <row r="2967" spans="1:2" ht="25.5">
      <c r="A2967" s="112">
        <v>3360100</v>
      </c>
      <c r="B2967" s="110" t="s">
        <v>1295</v>
      </c>
    </row>
    <row r="2968" spans="1:2">
      <c r="A2968" s="112">
        <v>3370000</v>
      </c>
      <c r="B2968" s="110" t="s">
        <v>955</v>
      </c>
    </row>
    <row r="2969" spans="1:2">
      <c r="A2969" s="112">
        <v>3379900</v>
      </c>
      <c r="B2969" s="110" t="s">
        <v>52</v>
      </c>
    </row>
    <row r="2970" spans="1:2">
      <c r="A2970" s="112">
        <v>3390000</v>
      </c>
      <c r="B2970" s="110" t="s">
        <v>1510</v>
      </c>
    </row>
    <row r="2971" spans="1:2">
      <c r="A2971" s="112">
        <v>3399900</v>
      </c>
      <c r="B2971" s="110" t="s">
        <v>52</v>
      </c>
    </row>
    <row r="2972" spans="1:2">
      <c r="A2972" s="112">
        <v>3400000</v>
      </c>
      <c r="B2972" s="110" t="s">
        <v>1511</v>
      </c>
    </row>
    <row r="2973" spans="1:2">
      <c r="A2973" s="112">
        <v>3400100</v>
      </c>
      <c r="B2973" s="110" t="s">
        <v>818</v>
      </c>
    </row>
    <row r="2974" spans="1:2">
      <c r="A2974" s="112">
        <v>3400101</v>
      </c>
      <c r="B2974" s="110" t="s">
        <v>819</v>
      </c>
    </row>
    <row r="2975" spans="1:2">
      <c r="A2975" s="112">
        <v>3400102</v>
      </c>
      <c r="B2975" s="110" t="s">
        <v>1296</v>
      </c>
    </row>
    <row r="2976" spans="1:2">
      <c r="A2976" s="112">
        <v>3400103</v>
      </c>
      <c r="B2976" s="110" t="s">
        <v>820</v>
      </c>
    </row>
    <row r="2977" spans="1:2">
      <c r="A2977" s="112">
        <v>3400104</v>
      </c>
      <c r="B2977" s="110" t="s">
        <v>1297</v>
      </c>
    </row>
    <row r="2978" spans="1:2" ht="25.5">
      <c r="A2978" s="112">
        <v>3400105</v>
      </c>
      <c r="B2978" s="110" t="s">
        <v>524</v>
      </c>
    </row>
    <row r="2979" spans="1:2">
      <c r="A2979" s="112">
        <v>3400106</v>
      </c>
      <c r="B2979" s="110" t="s">
        <v>1076</v>
      </c>
    </row>
    <row r="2980" spans="1:2">
      <c r="A2980" s="112">
        <v>3400200</v>
      </c>
      <c r="B2980" s="110" t="s">
        <v>204</v>
      </c>
    </row>
    <row r="2981" spans="1:2">
      <c r="A2981" s="112">
        <v>3400300</v>
      </c>
      <c r="B2981" s="110" t="s">
        <v>1077</v>
      </c>
    </row>
    <row r="2982" spans="1:2">
      <c r="A2982" s="112">
        <v>3400400</v>
      </c>
      <c r="B2982" s="110" t="s">
        <v>1298</v>
      </c>
    </row>
    <row r="2983" spans="1:2" ht="25.5">
      <c r="A2983" s="112">
        <v>3400500</v>
      </c>
      <c r="B2983" s="110" t="s">
        <v>1154</v>
      </c>
    </row>
    <row r="2984" spans="1:2">
      <c r="A2984" s="112">
        <v>3400600</v>
      </c>
      <c r="B2984" s="110" t="s">
        <v>1605</v>
      </c>
    </row>
    <row r="2985" spans="1:2">
      <c r="A2985" s="112">
        <v>3400700</v>
      </c>
      <c r="B2985" s="110" t="s">
        <v>1299</v>
      </c>
    </row>
    <row r="2986" spans="1:2">
      <c r="A2986" s="112">
        <v>3400701</v>
      </c>
      <c r="B2986" s="110" t="s">
        <v>1300</v>
      </c>
    </row>
    <row r="2987" spans="1:2">
      <c r="A2987" s="112">
        <v>3400702</v>
      </c>
      <c r="B2987" s="110" t="s">
        <v>1301</v>
      </c>
    </row>
    <row r="2988" spans="1:2" ht="25.5">
      <c r="A2988" s="112">
        <v>3400800</v>
      </c>
      <c r="B2988" s="110" t="s">
        <v>1302</v>
      </c>
    </row>
    <row r="2989" spans="1:2" ht="38.25">
      <c r="A2989" s="112">
        <v>3400900</v>
      </c>
      <c r="B2989" s="110" t="s">
        <v>1803</v>
      </c>
    </row>
    <row r="2990" spans="1:2" ht="25.5">
      <c r="A2990" s="112">
        <v>3401000</v>
      </c>
      <c r="B2990" s="110" t="s">
        <v>1804</v>
      </c>
    </row>
    <row r="2991" spans="1:2" ht="25.5">
      <c r="A2991" s="112">
        <v>3401100</v>
      </c>
      <c r="B2991" s="110" t="s">
        <v>1805</v>
      </c>
    </row>
    <row r="2992" spans="1:2">
      <c r="A2992" s="112">
        <v>3401200</v>
      </c>
      <c r="B2992" s="110" t="s">
        <v>1806</v>
      </c>
    </row>
    <row r="2993" spans="1:2" ht="25.5">
      <c r="A2993" s="112">
        <v>3401500</v>
      </c>
      <c r="B2993" s="110" t="s">
        <v>1807</v>
      </c>
    </row>
    <row r="2994" spans="1:2" ht="25.5">
      <c r="A2994" s="112">
        <v>3401600</v>
      </c>
      <c r="B2994" s="110" t="s">
        <v>1808</v>
      </c>
    </row>
    <row r="2995" spans="1:2" ht="25.5">
      <c r="A2995" s="112">
        <v>3401700</v>
      </c>
      <c r="B2995" s="110" t="s">
        <v>1809</v>
      </c>
    </row>
    <row r="2996" spans="1:2" ht="25.5">
      <c r="A2996" s="112">
        <v>3401800</v>
      </c>
      <c r="B2996" s="110" t="s">
        <v>1810</v>
      </c>
    </row>
    <row r="2997" spans="1:2" ht="25.5">
      <c r="A2997" s="112">
        <v>3408000</v>
      </c>
      <c r="B2997" s="110" t="s">
        <v>1302</v>
      </c>
    </row>
    <row r="2998" spans="1:2">
      <c r="A2998" s="112">
        <v>3408300</v>
      </c>
      <c r="B2998" s="110" t="s">
        <v>176</v>
      </c>
    </row>
    <row r="2999" spans="1:2" ht="38.25">
      <c r="A2999" s="112">
        <v>3408301</v>
      </c>
      <c r="B2999" s="111" t="s">
        <v>1811</v>
      </c>
    </row>
    <row r="3000" spans="1:2" ht="51">
      <c r="A3000" s="112">
        <v>3408302</v>
      </c>
      <c r="B3000" s="111" t="s">
        <v>1812</v>
      </c>
    </row>
    <row r="3001" spans="1:2" ht="51">
      <c r="A3001" s="112">
        <v>3408303</v>
      </c>
      <c r="B3001" s="111" t="s">
        <v>1813</v>
      </c>
    </row>
    <row r="3002" spans="1:2" ht="38.25">
      <c r="A3002" s="112">
        <v>3408304</v>
      </c>
      <c r="B3002" s="110" t="s">
        <v>1626</v>
      </c>
    </row>
    <row r="3003" spans="1:2" ht="38.25">
      <c r="A3003" s="112">
        <v>3408305</v>
      </c>
      <c r="B3003" s="111" t="s">
        <v>46</v>
      </c>
    </row>
    <row r="3004" spans="1:2" ht="76.5">
      <c r="A3004" s="112">
        <v>3408306</v>
      </c>
      <c r="B3004" s="111" t="s">
        <v>1106</v>
      </c>
    </row>
    <row r="3005" spans="1:2" ht="38.25">
      <c r="A3005" s="112">
        <v>3408307</v>
      </c>
      <c r="B3005" s="111" t="s">
        <v>1112</v>
      </c>
    </row>
    <row r="3006" spans="1:2" ht="63.75">
      <c r="A3006" s="112">
        <v>3408308</v>
      </c>
      <c r="B3006" s="111" t="s">
        <v>1113</v>
      </c>
    </row>
    <row r="3007" spans="1:2" ht="51">
      <c r="A3007" s="112">
        <v>3408309</v>
      </c>
      <c r="B3007" s="111" t="s">
        <v>1114</v>
      </c>
    </row>
    <row r="3008" spans="1:2" ht="25.5">
      <c r="A3008" s="112">
        <v>3408310</v>
      </c>
      <c r="B3008" s="110" t="s">
        <v>704</v>
      </c>
    </row>
    <row r="3009" spans="1:2" ht="63.75">
      <c r="A3009" s="112">
        <v>3408311</v>
      </c>
      <c r="B3009" s="111" t="s">
        <v>1115</v>
      </c>
    </row>
    <row r="3010" spans="1:2" ht="51">
      <c r="A3010" s="112">
        <v>3408313</v>
      </c>
      <c r="B3010" s="111" t="s">
        <v>1116</v>
      </c>
    </row>
    <row r="3011" spans="1:2" ht="63.75">
      <c r="A3011" s="112">
        <v>3408314</v>
      </c>
      <c r="B3011" s="111" t="s">
        <v>1649</v>
      </c>
    </row>
    <row r="3012" spans="1:2" ht="51">
      <c r="A3012" s="112">
        <v>3408315</v>
      </c>
      <c r="B3012" s="111" t="s">
        <v>1855</v>
      </c>
    </row>
    <row r="3013" spans="1:2" ht="38.25">
      <c r="A3013" s="112">
        <v>3408316</v>
      </c>
      <c r="B3013" s="110" t="s">
        <v>1856</v>
      </c>
    </row>
    <row r="3014" spans="1:2" ht="38.25">
      <c r="A3014" s="112">
        <v>3408317</v>
      </c>
      <c r="B3014" s="111" t="s">
        <v>1857</v>
      </c>
    </row>
    <row r="3015" spans="1:2" ht="38.25">
      <c r="A3015" s="112">
        <v>3408318</v>
      </c>
      <c r="B3015" s="111" t="s">
        <v>1858</v>
      </c>
    </row>
    <row r="3016" spans="1:2" ht="63.75">
      <c r="A3016" s="112">
        <v>3408319</v>
      </c>
      <c r="B3016" s="111" t="s">
        <v>1676</v>
      </c>
    </row>
    <row r="3017" spans="1:2" ht="38.25">
      <c r="A3017" s="112">
        <v>3408320</v>
      </c>
      <c r="B3017" s="111" t="s">
        <v>1677</v>
      </c>
    </row>
    <row r="3018" spans="1:2" ht="63.75">
      <c r="A3018" s="112">
        <v>3408321</v>
      </c>
      <c r="B3018" s="111" t="s">
        <v>1678</v>
      </c>
    </row>
    <row r="3019" spans="1:2" ht="25.5">
      <c r="A3019" s="112">
        <v>3408322</v>
      </c>
      <c r="B3019" s="110" t="s">
        <v>1679</v>
      </c>
    </row>
    <row r="3020" spans="1:2">
      <c r="A3020" s="112">
        <v>3410000</v>
      </c>
      <c r="B3020" s="110" t="s">
        <v>954</v>
      </c>
    </row>
    <row r="3021" spans="1:2">
      <c r="A3021" s="112">
        <v>3419900</v>
      </c>
      <c r="B3021" s="110" t="s">
        <v>52</v>
      </c>
    </row>
    <row r="3022" spans="1:2">
      <c r="A3022" s="112">
        <v>3450000</v>
      </c>
      <c r="B3022" s="110" t="s">
        <v>2250</v>
      </c>
    </row>
    <row r="3023" spans="1:2" ht="25.5">
      <c r="A3023" s="112">
        <v>3450100</v>
      </c>
      <c r="B3023" s="110" t="s">
        <v>1680</v>
      </c>
    </row>
    <row r="3024" spans="1:2" ht="25.5">
      <c r="A3024" s="112">
        <v>3450102</v>
      </c>
      <c r="B3024" s="110" t="s">
        <v>2251</v>
      </c>
    </row>
    <row r="3025" spans="1:2" ht="51">
      <c r="A3025" s="112">
        <v>3450103</v>
      </c>
      <c r="B3025" s="110" t="s">
        <v>2252</v>
      </c>
    </row>
    <row r="3026" spans="1:2">
      <c r="A3026" s="112">
        <v>3500000</v>
      </c>
      <c r="B3026" s="110" t="s">
        <v>2195</v>
      </c>
    </row>
    <row r="3027" spans="1:2" ht="25.5">
      <c r="A3027" s="112">
        <v>3500100</v>
      </c>
      <c r="B3027" s="110" t="s">
        <v>588</v>
      </c>
    </row>
    <row r="3028" spans="1:2">
      <c r="A3028" s="112">
        <v>3500200</v>
      </c>
      <c r="B3028" s="110" t="s">
        <v>380</v>
      </c>
    </row>
    <row r="3029" spans="1:2" ht="25.5">
      <c r="A3029" s="112">
        <v>3500300</v>
      </c>
      <c r="B3029" s="110" t="s">
        <v>589</v>
      </c>
    </row>
    <row r="3030" spans="1:2" ht="25.5">
      <c r="A3030" s="112">
        <v>3500301</v>
      </c>
      <c r="B3030" s="110" t="s">
        <v>1257</v>
      </c>
    </row>
    <row r="3031" spans="1:2">
      <c r="A3031" s="112">
        <v>3510000</v>
      </c>
      <c r="B3031" s="110" t="s">
        <v>381</v>
      </c>
    </row>
    <row r="3032" spans="1:2" ht="25.5">
      <c r="A3032" s="112">
        <v>3510100</v>
      </c>
      <c r="B3032" s="110" t="s">
        <v>452</v>
      </c>
    </row>
    <row r="3033" spans="1:2" ht="25.5">
      <c r="A3033" s="112">
        <v>3510200</v>
      </c>
      <c r="B3033" s="110" t="s">
        <v>1057</v>
      </c>
    </row>
    <row r="3034" spans="1:2" ht="25.5">
      <c r="A3034" s="112">
        <v>3510300</v>
      </c>
      <c r="B3034" s="110" t="s">
        <v>150</v>
      </c>
    </row>
    <row r="3035" spans="1:2">
      <c r="A3035" s="112">
        <v>3510500</v>
      </c>
      <c r="B3035" s="110" t="s">
        <v>484</v>
      </c>
    </row>
    <row r="3036" spans="1:2" ht="25.5">
      <c r="A3036" s="112">
        <v>3510600</v>
      </c>
      <c r="B3036" s="110" t="s">
        <v>734</v>
      </c>
    </row>
    <row r="3037" spans="1:2" ht="25.5">
      <c r="A3037" s="112">
        <v>3510700</v>
      </c>
      <c r="B3037" s="110" t="s">
        <v>733</v>
      </c>
    </row>
    <row r="3038" spans="1:2" ht="25.5">
      <c r="A3038" s="112">
        <v>3510800</v>
      </c>
      <c r="B3038" s="110" t="s">
        <v>2138</v>
      </c>
    </row>
    <row r="3039" spans="1:2">
      <c r="A3039" s="112">
        <v>3510900</v>
      </c>
      <c r="B3039" s="110" t="s">
        <v>2007</v>
      </c>
    </row>
    <row r="3040" spans="1:2" ht="25.5">
      <c r="A3040" s="112">
        <v>3511000</v>
      </c>
      <c r="B3040" s="110" t="s">
        <v>2042</v>
      </c>
    </row>
    <row r="3041" spans="1:2" ht="25.5">
      <c r="A3041" s="112">
        <v>3511100</v>
      </c>
      <c r="B3041" s="110" t="s">
        <v>2137</v>
      </c>
    </row>
    <row r="3042" spans="1:2" ht="25.5">
      <c r="A3042" s="112">
        <v>3511200</v>
      </c>
      <c r="B3042" s="110" t="s">
        <v>2231</v>
      </c>
    </row>
    <row r="3043" spans="1:2" ht="25.5">
      <c r="A3043" s="112">
        <v>3602600</v>
      </c>
      <c r="B3043" s="110" t="s">
        <v>590</v>
      </c>
    </row>
    <row r="3044" spans="1:2" ht="25.5">
      <c r="A3044" s="112">
        <v>3610000</v>
      </c>
      <c r="B3044" s="110" t="s">
        <v>591</v>
      </c>
    </row>
    <row r="3045" spans="1:2">
      <c r="A3045" s="112">
        <v>3610100</v>
      </c>
      <c r="B3045" s="110" t="s">
        <v>592</v>
      </c>
    </row>
    <row r="3046" spans="1:2">
      <c r="A3046" s="112">
        <v>3610101</v>
      </c>
      <c r="B3046" s="110" t="s">
        <v>593</v>
      </c>
    </row>
    <row r="3047" spans="1:2">
      <c r="A3047" s="112">
        <v>3610103</v>
      </c>
      <c r="B3047" s="110" t="s">
        <v>594</v>
      </c>
    </row>
    <row r="3048" spans="1:2" ht="25.5">
      <c r="A3048" s="112">
        <v>3610105</v>
      </c>
      <c r="B3048" s="110" t="s">
        <v>595</v>
      </c>
    </row>
    <row r="3049" spans="1:2" ht="25.5">
      <c r="A3049" s="112">
        <v>3610106</v>
      </c>
      <c r="B3049" s="110" t="s">
        <v>1157</v>
      </c>
    </row>
    <row r="3050" spans="1:2" ht="38.25">
      <c r="A3050" s="112">
        <v>3610107</v>
      </c>
      <c r="B3050" s="110" t="s">
        <v>2008</v>
      </c>
    </row>
    <row r="3051" spans="1:2">
      <c r="A3051" s="112">
        <v>3610300</v>
      </c>
      <c r="B3051" s="110" t="s">
        <v>1158</v>
      </c>
    </row>
    <row r="3052" spans="1:2">
      <c r="A3052" s="112">
        <v>3610301</v>
      </c>
      <c r="B3052" s="110" t="s">
        <v>1159</v>
      </c>
    </row>
    <row r="3053" spans="1:2">
      <c r="A3053" s="112">
        <v>3610302</v>
      </c>
      <c r="B3053" s="110" t="s">
        <v>1160</v>
      </c>
    </row>
    <row r="3054" spans="1:2">
      <c r="A3054" s="112">
        <v>3610303</v>
      </c>
      <c r="B3054" s="110" t="s">
        <v>1161</v>
      </c>
    </row>
    <row r="3055" spans="1:2">
      <c r="A3055" s="112">
        <v>3610304</v>
      </c>
      <c r="B3055" s="110" t="s">
        <v>1162</v>
      </c>
    </row>
    <row r="3056" spans="1:2">
      <c r="A3056" s="112">
        <v>3610305</v>
      </c>
      <c r="B3056" s="110" t="s">
        <v>1163</v>
      </c>
    </row>
    <row r="3057" spans="1:2">
      <c r="A3057" s="112">
        <v>3610400</v>
      </c>
      <c r="B3057" s="110" t="s">
        <v>1164</v>
      </c>
    </row>
    <row r="3058" spans="1:2" ht="25.5">
      <c r="A3058" s="112">
        <v>3610403</v>
      </c>
      <c r="B3058" s="110" t="s">
        <v>1165</v>
      </c>
    </row>
    <row r="3059" spans="1:2">
      <c r="A3059" s="112">
        <v>3610500</v>
      </c>
      <c r="B3059" s="110" t="s">
        <v>1166</v>
      </c>
    </row>
    <row r="3060" spans="1:2">
      <c r="A3060" s="112">
        <v>3610502</v>
      </c>
      <c r="B3060" s="110" t="s">
        <v>1167</v>
      </c>
    </row>
    <row r="3061" spans="1:2" ht="25.5">
      <c r="A3061" s="112">
        <v>3610600</v>
      </c>
      <c r="B3061" s="110" t="s">
        <v>1168</v>
      </c>
    </row>
    <row r="3062" spans="1:2">
      <c r="A3062" s="112">
        <v>4100000</v>
      </c>
      <c r="B3062" s="110" t="s">
        <v>807</v>
      </c>
    </row>
    <row r="3063" spans="1:2">
      <c r="A3063" s="112">
        <v>4100100</v>
      </c>
      <c r="B3063" s="110" t="s">
        <v>242</v>
      </c>
    </row>
    <row r="3064" spans="1:2">
      <c r="A3064" s="112">
        <v>4110000</v>
      </c>
      <c r="B3064" s="110" t="s">
        <v>35</v>
      </c>
    </row>
    <row r="3065" spans="1:2">
      <c r="A3065" s="112">
        <v>4119900</v>
      </c>
      <c r="B3065" s="110" t="s">
        <v>52</v>
      </c>
    </row>
    <row r="3066" spans="1:2">
      <c r="A3066" s="112">
        <v>4130000</v>
      </c>
      <c r="B3066" s="110" t="s">
        <v>1010</v>
      </c>
    </row>
    <row r="3067" spans="1:2">
      <c r="A3067" s="112">
        <v>4200000</v>
      </c>
      <c r="B3067" s="110" t="s">
        <v>80</v>
      </c>
    </row>
    <row r="3068" spans="1:2" ht="25.5">
      <c r="A3068" s="112">
        <v>4200100</v>
      </c>
      <c r="B3068" s="110" t="s">
        <v>1907</v>
      </c>
    </row>
    <row r="3069" spans="1:2">
      <c r="A3069" s="112">
        <v>4207100</v>
      </c>
      <c r="B3069" s="110" t="s">
        <v>897</v>
      </c>
    </row>
    <row r="3070" spans="1:2">
      <c r="A3070" s="112">
        <v>4207101</v>
      </c>
      <c r="B3070" s="110" t="s">
        <v>289</v>
      </c>
    </row>
    <row r="3071" spans="1:2">
      <c r="A3071" s="112">
        <v>4207102</v>
      </c>
      <c r="B3071" s="110" t="s">
        <v>167</v>
      </c>
    </row>
    <row r="3072" spans="1:2">
      <c r="A3072" s="112">
        <v>4207103</v>
      </c>
      <c r="B3072" s="110" t="s">
        <v>168</v>
      </c>
    </row>
    <row r="3073" spans="1:2">
      <c r="A3073" s="112">
        <v>4209900</v>
      </c>
      <c r="B3073" s="110" t="s">
        <v>52</v>
      </c>
    </row>
    <row r="3074" spans="1:2">
      <c r="A3074" s="112">
        <v>4210000</v>
      </c>
      <c r="B3074" s="110" t="s">
        <v>1908</v>
      </c>
    </row>
    <row r="3075" spans="1:2" ht="25.5">
      <c r="A3075" s="112">
        <v>4215600</v>
      </c>
      <c r="B3075" s="110" t="s">
        <v>320</v>
      </c>
    </row>
    <row r="3076" spans="1:2">
      <c r="A3076" s="112">
        <v>4215800</v>
      </c>
      <c r="B3076" s="110" t="s">
        <v>579</v>
      </c>
    </row>
    <row r="3077" spans="1:2">
      <c r="A3077" s="112">
        <v>4216800</v>
      </c>
      <c r="B3077" s="110" t="s">
        <v>618</v>
      </c>
    </row>
    <row r="3078" spans="1:2">
      <c r="A3078" s="112">
        <v>4216801</v>
      </c>
      <c r="B3078" s="110" t="s">
        <v>386</v>
      </c>
    </row>
    <row r="3079" spans="1:2" ht="25.5">
      <c r="A3079" s="112">
        <v>4216802</v>
      </c>
      <c r="B3079" s="110" t="s">
        <v>160</v>
      </c>
    </row>
    <row r="3080" spans="1:2">
      <c r="A3080" s="112">
        <v>4217100</v>
      </c>
      <c r="B3080" s="110" t="s">
        <v>897</v>
      </c>
    </row>
    <row r="3081" spans="1:2">
      <c r="A3081" s="112">
        <v>4217101</v>
      </c>
      <c r="B3081" s="110" t="s">
        <v>289</v>
      </c>
    </row>
    <row r="3082" spans="1:2">
      <c r="A3082" s="112">
        <v>4217102</v>
      </c>
      <c r="B3082" s="110" t="s">
        <v>167</v>
      </c>
    </row>
    <row r="3083" spans="1:2">
      <c r="A3083" s="112">
        <v>4217103</v>
      </c>
      <c r="B3083" s="110" t="s">
        <v>168</v>
      </c>
    </row>
    <row r="3084" spans="1:2">
      <c r="A3084" s="112">
        <v>4217200</v>
      </c>
      <c r="B3084" s="110" t="s">
        <v>231</v>
      </c>
    </row>
    <row r="3085" spans="1:2">
      <c r="A3085" s="112">
        <v>4217201</v>
      </c>
      <c r="B3085" s="110" t="s">
        <v>632</v>
      </c>
    </row>
    <row r="3086" spans="1:2">
      <c r="A3086" s="112">
        <v>4217202</v>
      </c>
      <c r="B3086" s="110" t="s">
        <v>633</v>
      </c>
    </row>
    <row r="3087" spans="1:2">
      <c r="A3087" s="112">
        <v>4217203</v>
      </c>
      <c r="B3087" s="110" t="s">
        <v>576</v>
      </c>
    </row>
    <row r="3088" spans="1:2">
      <c r="A3088" s="112">
        <v>4219900</v>
      </c>
      <c r="B3088" s="110" t="s">
        <v>52</v>
      </c>
    </row>
    <row r="3089" spans="1:2">
      <c r="A3089" s="112">
        <v>4220000</v>
      </c>
      <c r="B3089" s="110" t="s">
        <v>1751</v>
      </c>
    </row>
    <row r="3090" spans="1:2">
      <c r="A3090" s="112">
        <v>4229900</v>
      </c>
      <c r="B3090" s="110" t="s">
        <v>52</v>
      </c>
    </row>
    <row r="3091" spans="1:2">
      <c r="A3091" s="112">
        <v>4230000</v>
      </c>
      <c r="B3091" s="110" t="s">
        <v>296</v>
      </c>
    </row>
    <row r="3092" spans="1:2">
      <c r="A3092" s="112">
        <v>4231200</v>
      </c>
      <c r="B3092" s="110" t="s">
        <v>156</v>
      </c>
    </row>
    <row r="3093" spans="1:2" ht="25.5">
      <c r="A3093" s="112">
        <v>4235600</v>
      </c>
      <c r="B3093" s="110" t="s">
        <v>320</v>
      </c>
    </row>
    <row r="3094" spans="1:2">
      <c r="A3094" s="112">
        <v>4239900</v>
      </c>
      <c r="B3094" s="110" t="s">
        <v>52</v>
      </c>
    </row>
    <row r="3095" spans="1:2">
      <c r="A3095" s="112">
        <v>4240000</v>
      </c>
      <c r="B3095" s="110" t="s">
        <v>949</v>
      </c>
    </row>
    <row r="3096" spans="1:2" ht="25.5">
      <c r="A3096" s="112">
        <v>4240200</v>
      </c>
      <c r="B3096" s="110" t="s">
        <v>637</v>
      </c>
    </row>
    <row r="3097" spans="1:2">
      <c r="A3097" s="112">
        <v>4249900</v>
      </c>
      <c r="B3097" s="110" t="s">
        <v>52</v>
      </c>
    </row>
    <row r="3098" spans="1:2">
      <c r="A3098" s="112">
        <v>4250000</v>
      </c>
      <c r="B3098" s="110" t="s">
        <v>1092</v>
      </c>
    </row>
    <row r="3099" spans="1:2">
      <c r="A3099" s="112">
        <v>4259900</v>
      </c>
      <c r="B3099" s="110" t="s">
        <v>52</v>
      </c>
    </row>
    <row r="3100" spans="1:2">
      <c r="A3100" s="112">
        <v>4260000</v>
      </c>
      <c r="B3100" s="110" t="s">
        <v>348</v>
      </c>
    </row>
    <row r="3101" spans="1:2">
      <c r="A3101" s="112">
        <v>4265800</v>
      </c>
      <c r="B3101" s="110" t="s">
        <v>579</v>
      </c>
    </row>
    <row r="3102" spans="1:2">
      <c r="A3102" s="112">
        <v>4269900</v>
      </c>
      <c r="B3102" s="110" t="s">
        <v>52</v>
      </c>
    </row>
    <row r="3103" spans="1:2">
      <c r="A3103" s="112">
        <v>4270000</v>
      </c>
      <c r="B3103" s="110" t="s">
        <v>349</v>
      </c>
    </row>
    <row r="3104" spans="1:2">
      <c r="A3104" s="112">
        <v>4275800</v>
      </c>
      <c r="B3104" s="110" t="s">
        <v>579</v>
      </c>
    </row>
    <row r="3105" spans="1:2">
      <c r="A3105" s="112">
        <v>4276800</v>
      </c>
      <c r="B3105" s="110" t="s">
        <v>618</v>
      </c>
    </row>
    <row r="3106" spans="1:2">
      <c r="A3106" s="112">
        <v>4276801</v>
      </c>
      <c r="B3106" s="110" t="s">
        <v>386</v>
      </c>
    </row>
    <row r="3107" spans="1:2" ht="25.5">
      <c r="A3107" s="112">
        <v>4276802</v>
      </c>
      <c r="B3107" s="110" t="s">
        <v>160</v>
      </c>
    </row>
    <row r="3108" spans="1:2">
      <c r="A3108" s="112">
        <v>4277100</v>
      </c>
      <c r="B3108" s="110" t="s">
        <v>897</v>
      </c>
    </row>
    <row r="3109" spans="1:2">
      <c r="A3109" s="112">
        <v>4277101</v>
      </c>
      <c r="B3109" s="110" t="s">
        <v>289</v>
      </c>
    </row>
    <row r="3110" spans="1:2">
      <c r="A3110" s="112">
        <v>4277102</v>
      </c>
      <c r="B3110" s="110" t="s">
        <v>167</v>
      </c>
    </row>
    <row r="3111" spans="1:2">
      <c r="A3111" s="112">
        <v>4277103</v>
      </c>
      <c r="B3111" s="110" t="s">
        <v>168</v>
      </c>
    </row>
    <row r="3112" spans="1:2">
      <c r="A3112" s="112">
        <v>4277200</v>
      </c>
      <c r="B3112" s="110" t="s">
        <v>231</v>
      </c>
    </row>
    <row r="3113" spans="1:2">
      <c r="A3113" s="112">
        <v>4277201</v>
      </c>
      <c r="B3113" s="110" t="s">
        <v>632</v>
      </c>
    </row>
    <row r="3114" spans="1:2">
      <c r="A3114" s="112">
        <v>4277202</v>
      </c>
      <c r="B3114" s="110" t="s">
        <v>633</v>
      </c>
    </row>
    <row r="3115" spans="1:2">
      <c r="A3115" s="112">
        <v>4277203</v>
      </c>
      <c r="B3115" s="110" t="s">
        <v>576</v>
      </c>
    </row>
    <row r="3116" spans="1:2">
      <c r="A3116" s="112">
        <v>4277600</v>
      </c>
      <c r="B3116" s="110" t="s">
        <v>1151</v>
      </c>
    </row>
    <row r="3117" spans="1:2">
      <c r="A3117" s="112">
        <v>4279900</v>
      </c>
      <c r="B3117" s="110" t="s">
        <v>52</v>
      </c>
    </row>
    <row r="3118" spans="1:2">
      <c r="A3118" s="112">
        <v>4280000</v>
      </c>
      <c r="B3118" s="110" t="s">
        <v>350</v>
      </c>
    </row>
    <row r="3119" spans="1:2">
      <c r="A3119" s="112">
        <v>4280100</v>
      </c>
      <c r="B3119" s="110" t="s">
        <v>1331</v>
      </c>
    </row>
    <row r="3120" spans="1:2">
      <c r="A3120" s="112">
        <v>4285800</v>
      </c>
      <c r="B3120" s="110" t="s">
        <v>579</v>
      </c>
    </row>
    <row r="3121" spans="1:2">
      <c r="A3121" s="112">
        <v>4286800</v>
      </c>
      <c r="B3121" s="110" t="s">
        <v>618</v>
      </c>
    </row>
    <row r="3122" spans="1:2">
      <c r="A3122" s="112">
        <v>4286801</v>
      </c>
      <c r="B3122" s="110" t="s">
        <v>386</v>
      </c>
    </row>
    <row r="3123" spans="1:2" ht="25.5">
      <c r="A3123" s="112">
        <v>4286802</v>
      </c>
      <c r="B3123" s="110" t="s">
        <v>160</v>
      </c>
    </row>
    <row r="3124" spans="1:2">
      <c r="A3124" s="112">
        <v>4287100</v>
      </c>
      <c r="B3124" s="110" t="s">
        <v>897</v>
      </c>
    </row>
    <row r="3125" spans="1:2">
      <c r="A3125" s="112">
        <v>4287101</v>
      </c>
      <c r="B3125" s="110" t="s">
        <v>289</v>
      </c>
    </row>
    <row r="3126" spans="1:2">
      <c r="A3126" s="112">
        <v>4287102</v>
      </c>
      <c r="B3126" s="110" t="s">
        <v>167</v>
      </c>
    </row>
    <row r="3127" spans="1:2">
      <c r="A3127" s="112">
        <v>4287103</v>
      </c>
      <c r="B3127" s="110" t="s">
        <v>168</v>
      </c>
    </row>
    <row r="3128" spans="1:2">
      <c r="A3128" s="112">
        <v>4287200</v>
      </c>
      <c r="B3128" s="110" t="s">
        <v>231</v>
      </c>
    </row>
    <row r="3129" spans="1:2">
      <c r="A3129" s="112">
        <v>4287201</v>
      </c>
      <c r="B3129" s="110" t="s">
        <v>632</v>
      </c>
    </row>
    <row r="3130" spans="1:2">
      <c r="A3130" s="112">
        <v>4287202</v>
      </c>
      <c r="B3130" s="110" t="s">
        <v>633</v>
      </c>
    </row>
    <row r="3131" spans="1:2">
      <c r="A3131" s="112">
        <v>4287203</v>
      </c>
      <c r="B3131" s="110" t="s">
        <v>576</v>
      </c>
    </row>
    <row r="3132" spans="1:2">
      <c r="A3132" s="112">
        <v>4287300</v>
      </c>
      <c r="B3132" s="110" t="s">
        <v>45</v>
      </c>
    </row>
    <row r="3133" spans="1:2">
      <c r="A3133" s="112">
        <v>4287600</v>
      </c>
      <c r="B3133" s="110" t="s">
        <v>1081</v>
      </c>
    </row>
    <row r="3134" spans="1:2">
      <c r="A3134" s="112">
        <v>4287800</v>
      </c>
      <c r="B3134" s="110" t="s">
        <v>319</v>
      </c>
    </row>
    <row r="3135" spans="1:2">
      <c r="A3135" s="112">
        <v>4289900</v>
      </c>
      <c r="B3135" s="110" t="s">
        <v>52</v>
      </c>
    </row>
    <row r="3136" spans="1:2">
      <c r="A3136" s="112">
        <v>4290000</v>
      </c>
      <c r="B3136" s="110" t="s">
        <v>1516</v>
      </c>
    </row>
    <row r="3137" spans="1:2">
      <c r="A3137" s="112">
        <v>4297800</v>
      </c>
      <c r="B3137" s="110" t="s">
        <v>319</v>
      </c>
    </row>
    <row r="3138" spans="1:2">
      <c r="A3138" s="112">
        <v>4299900</v>
      </c>
      <c r="B3138" s="110" t="s">
        <v>52</v>
      </c>
    </row>
    <row r="3139" spans="1:2">
      <c r="A3139" s="112">
        <v>4300000</v>
      </c>
      <c r="B3139" s="110" t="s">
        <v>1517</v>
      </c>
    </row>
    <row r="3140" spans="1:2">
      <c r="A3140" s="112">
        <v>4300100</v>
      </c>
      <c r="B3140" s="110" t="s">
        <v>1802</v>
      </c>
    </row>
    <row r="3141" spans="1:2">
      <c r="A3141" s="112">
        <v>4300200</v>
      </c>
      <c r="B3141" s="110" t="s">
        <v>517</v>
      </c>
    </row>
    <row r="3142" spans="1:2">
      <c r="A3142" s="112">
        <v>4300201</v>
      </c>
      <c r="B3142" s="110" t="s">
        <v>1909</v>
      </c>
    </row>
    <row r="3143" spans="1:2" ht="38.25">
      <c r="A3143" s="112">
        <v>4300202</v>
      </c>
      <c r="B3143" s="110" t="s">
        <v>1910</v>
      </c>
    </row>
    <row r="3144" spans="1:2">
      <c r="A3144" s="112">
        <v>4300300</v>
      </c>
      <c r="B3144" s="110" t="s">
        <v>530</v>
      </c>
    </row>
    <row r="3145" spans="1:2" ht="25.5">
      <c r="A3145" s="112">
        <v>4300400</v>
      </c>
      <c r="B3145" s="110" t="s">
        <v>1911</v>
      </c>
    </row>
    <row r="3146" spans="1:2" ht="38.25">
      <c r="A3146" s="112">
        <v>4300500</v>
      </c>
      <c r="B3146" s="110" t="s">
        <v>1753</v>
      </c>
    </row>
    <row r="3147" spans="1:2" ht="25.5">
      <c r="A3147" s="112">
        <v>4305600</v>
      </c>
      <c r="B3147" s="110" t="s">
        <v>320</v>
      </c>
    </row>
    <row r="3148" spans="1:2">
      <c r="A3148" s="112">
        <v>4305800</v>
      </c>
      <c r="B3148" s="110" t="s">
        <v>579</v>
      </c>
    </row>
    <row r="3149" spans="1:2">
      <c r="A3149" s="112">
        <v>4306200</v>
      </c>
      <c r="B3149" s="110" t="s">
        <v>153</v>
      </c>
    </row>
    <row r="3150" spans="1:2">
      <c r="A3150" s="112">
        <v>4306800</v>
      </c>
      <c r="B3150" s="110" t="s">
        <v>618</v>
      </c>
    </row>
    <row r="3151" spans="1:2">
      <c r="A3151" s="112">
        <v>4306801</v>
      </c>
      <c r="B3151" s="110" t="s">
        <v>386</v>
      </c>
    </row>
    <row r="3152" spans="1:2" ht="25.5">
      <c r="A3152" s="112">
        <v>4306802</v>
      </c>
      <c r="B3152" s="110" t="s">
        <v>160</v>
      </c>
    </row>
    <row r="3153" spans="1:2">
      <c r="A3153" s="112">
        <v>4307100</v>
      </c>
      <c r="B3153" s="110" t="s">
        <v>897</v>
      </c>
    </row>
    <row r="3154" spans="1:2">
      <c r="A3154" s="112">
        <v>4307101</v>
      </c>
      <c r="B3154" s="110" t="s">
        <v>289</v>
      </c>
    </row>
    <row r="3155" spans="1:2">
      <c r="A3155" s="112">
        <v>4307102</v>
      </c>
      <c r="B3155" s="110" t="s">
        <v>167</v>
      </c>
    </row>
    <row r="3156" spans="1:2">
      <c r="A3156" s="112">
        <v>4307103</v>
      </c>
      <c r="B3156" s="110" t="s">
        <v>168</v>
      </c>
    </row>
    <row r="3157" spans="1:2">
      <c r="A3157" s="112">
        <v>4307200</v>
      </c>
      <c r="B3157" s="110" t="s">
        <v>231</v>
      </c>
    </row>
    <row r="3158" spans="1:2">
      <c r="A3158" s="112">
        <v>4307201</v>
      </c>
      <c r="B3158" s="110" t="s">
        <v>632</v>
      </c>
    </row>
    <row r="3159" spans="1:2">
      <c r="A3159" s="112">
        <v>4307202</v>
      </c>
      <c r="B3159" s="110" t="s">
        <v>633</v>
      </c>
    </row>
    <row r="3160" spans="1:2">
      <c r="A3160" s="112">
        <v>4307203</v>
      </c>
      <c r="B3160" s="110" t="s">
        <v>576</v>
      </c>
    </row>
    <row r="3161" spans="1:2">
      <c r="A3161" s="112">
        <v>4307300</v>
      </c>
      <c r="B3161" s="110" t="s">
        <v>45</v>
      </c>
    </row>
    <row r="3162" spans="1:2">
      <c r="A3162" s="112">
        <v>4307600</v>
      </c>
      <c r="B3162" s="110" t="s">
        <v>1081</v>
      </c>
    </row>
    <row r="3163" spans="1:2">
      <c r="A3163" s="112">
        <v>4309200</v>
      </c>
      <c r="B3163" s="110" t="s">
        <v>1551</v>
      </c>
    </row>
    <row r="3164" spans="1:2">
      <c r="A3164" s="112">
        <v>4309900</v>
      </c>
      <c r="B3164" s="110" t="s">
        <v>52</v>
      </c>
    </row>
    <row r="3165" spans="1:2">
      <c r="A3165" s="112">
        <v>4310000</v>
      </c>
      <c r="B3165" s="110" t="s">
        <v>280</v>
      </c>
    </row>
    <row r="3166" spans="1:2">
      <c r="A3166" s="112">
        <v>4310100</v>
      </c>
      <c r="B3166" s="110" t="s">
        <v>243</v>
      </c>
    </row>
    <row r="3167" spans="1:2">
      <c r="A3167" s="112">
        <v>4310102</v>
      </c>
      <c r="B3167" s="110" t="s">
        <v>2009</v>
      </c>
    </row>
    <row r="3168" spans="1:2">
      <c r="A3168" s="112">
        <v>4310104</v>
      </c>
      <c r="B3168" s="110" t="s">
        <v>243</v>
      </c>
    </row>
    <row r="3169" spans="1:2" ht="25.5">
      <c r="A3169" s="112">
        <v>4310200</v>
      </c>
      <c r="B3169" s="110" t="s">
        <v>1754</v>
      </c>
    </row>
    <row r="3170" spans="1:2">
      <c r="A3170" s="112">
        <v>4319400</v>
      </c>
      <c r="B3170" s="110" t="s">
        <v>623</v>
      </c>
    </row>
    <row r="3171" spans="1:2">
      <c r="A3171" s="112">
        <v>4319900</v>
      </c>
      <c r="B3171" s="110" t="s">
        <v>52</v>
      </c>
    </row>
    <row r="3172" spans="1:2">
      <c r="A3172" s="112">
        <v>4320000</v>
      </c>
      <c r="B3172" s="110" t="s">
        <v>205</v>
      </c>
    </row>
    <row r="3173" spans="1:2">
      <c r="A3173" s="112">
        <v>4320100</v>
      </c>
      <c r="B3173" s="110" t="s">
        <v>387</v>
      </c>
    </row>
    <row r="3174" spans="1:2">
      <c r="A3174" s="112">
        <v>4320200</v>
      </c>
      <c r="B3174" s="110" t="s">
        <v>1055</v>
      </c>
    </row>
    <row r="3175" spans="1:2">
      <c r="A3175" s="112">
        <v>4320201</v>
      </c>
      <c r="B3175" s="110" t="s">
        <v>650</v>
      </c>
    </row>
    <row r="3176" spans="1:2">
      <c r="A3176" s="112">
        <v>4320202</v>
      </c>
      <c r="B3176" s="110" t="s">
        <v>1755</v>
      </c>
    </row>
    <row r="3177" spans="1:2">
      <c r="A3177" s="112">
        <v>4320203</v>
      </c>
      <c r="B3177" s="110" t="s">
        <v>1866</v>
      </c>
    </row>
    <row r="3178" spans="1:2">
      <c r="A3178" s="112">
        <v>4325800</v>
      </c>
      <c r="B3178" s="110" t="s">
        <v>579</v>
      </c>
    </row>
    <row r="3179" spans="1:2">
      <c r="A3179" s="112">
        <v>4326200</v>
      </c>
      <c r="B3179" s="110" t="s">
        <v>153</v>
      </c>
    </row>
    <row r="3180" spans="1:2">
      <c r="A3180" s="112">
        <v>4326800</v>
      </c>
      <c r="B3180" s="110" t="s">
        <v>618</v>
      </c>
    </row>
    <row r="3181" spans="1:2">
      <c r="A3181" s="112">
        <v>4326801</v>
      </c>
      <c r="B3181" s="110" t="s">
        <v>386</v>
      </c>
    </row>
    <row r="3182" spans="1:2" ht="25.5">
      <c r="A3182" s="112">
        <v>4326802</v>
      </c>
      <c r="B3182" s="110" t="s">
        <v>160</v>
      </c>
    </row>
    <row r="3183" spans="1:2">
      <c r="A3183" s="112">
        <v>4327100</v>
      </c>
      <c r="B3183" s="110" t="s">
        <v>897</v>
      </c>
    </row>
    <row r="3184" spans="1:2">
      <c r="A3184" s="112">
        <v>4327101</v>
      </c>
      <c r="B3184" s="110" t="s">
        <v>289</v>
      </c>
    </row>
    <row r="3185" spans="1:2">
      <c r="A3185" s="112">
        <v>4327102</v>
      </c>
      <c r="B3185" s="110" t="s">
        <v>167</v>
      </c>
    </row>
    <row r="3186" spans="1:2">
      <c r="A3186" s="112">
        <v>4327103</v>
      </c>
      <c r="B3186" s="110" t="s">
        <v>168</v>
      </c>
    </row>
    <row r="3187" spans="1:2">
      <c r="A3187" s="112">
        <v>4327200</v>
      </c>
      <c r="B3187" s="110" t="s">
        <v>231</v>
      </c>
    </row>
    <row r="3188" spans="1:2">
      <c r="A3188" s="112">
        <v>4327201</v>
      </c>
      <c r="B3188" s="110" t="s">
        <v>632</v>
      </c>
    </row>
    <row r="3189" spans="1:2">
      <c r="A3189" s="112">
        <v>4327202</v>
      </c>
      <c r="B3189" s="110" t="s">
        <v>633</v>
      </c>
    </row>
    <row r="3190" spans="1:2">
      <c r="A3190" s="112">
        <v>4327203</v>
      </c>
      <c r="B3190" s="110" t="s">
        <v>576</v>
      </c>
    </row>
    <row r="3191" spans="1:2">
      <c r="A3191" s="112">
        <v>4329900</v>
      </c>
      <c r="B3191" s="110" t="s">
        <v>52</v>
      </c>
    </row>
    <row r="3192" spans="1:2">
      <c r="A3192" s="112">
        <v>4350000</v>
      </c>
      <c r="B3192" s="110" t="s">
        <v>36</v>
      </c>
    </row>
    <row r="3193" spans="1:2">
      <c r="A3193" s="112">
        <v>4359900</v>
      </c>
      <c r="B3193" s="110" t="s">
        <v>52</v>
      </c>
    </row>
    <row r="3194" spans="1:2">
      <c r="A3194" s="112">
        <v>4360000</v>
      </c>
      <c r="B3194" s="110" t="s">
        <v>4</v>
      </c>
    </row>
    <row r="3195" spans="1:2">
      <c r="A3195" s="112">
        <v>4360100</v>
      </c>
      <c r="B3195" s="110" t="s">
        <v>218</v>
      </c>
    </row>
    <row r="3196" spans="1:2">
      <c r="A3196" s="112">
        <v>4360200</v>
      </c>
      <c r="B3196" s="110" t="s">
        <v>1056</v>
      </c>
    </row>
    <row r="3197" spans="1:2">
      <c r="A3197" s="112">
        <v>4360300</v>
      </c>
      <c r="B3197" s="110" t="s">
        <v>1015</v>
      </c>
    </row>
    <row r="3198" spans="1:2">
      <c r="A3198" s="112">
        <v>4360400</v>
      </c>
      <c r="B3198" s="110" t="s">
        <v>661</v>
      </c>
    </row>
    <row r="3199" spans="1:2">
      <c r="A3199" s="112">
        <v>4360500</v>
      </c>
      <c r="B3199" s="110" t="s">
        <v>28</v>
      </c>
    </row>
    <row r="3200" spans="1:2">
      <c r="A3200" s="112">
        <v>4360600</v>
      </c>
      <c r="B3200" s="110" t="s">
        <v>29</v>
      </c>
    </row>
    <row r="3201" spans="1:2">
      <c r="A3201" s="112">
        <v>4360700</v>
      </c>
      <c r="B3201" s="110" t="s">
        <v>528</v>
      </c>
    </row>
    <row r="3202" spans="1:2" ht="25.5">
      <c r="A3202" s="112">
        <v>4360800</v>
      </c>
      <c r="B3202" s="110" t="s">
        <v>1243</v>
      </c>
    </row>
    <row r="3203" spans="1:2">
      <c r="A3203" s="112">
        <v>4360900</v>
      </c>
      <c r="B3203" s="110" t="s">
        <v>243</v>
      </c>
    </row>
    <row r="3204" spans="1:2">
      <c r="A3204" s="112">
        <v>4361000</v>
      </c>
      <c r="B3204" s="110" t="s">
        <v>1181</v>
      </c>
    </row>
    <row r="3205" spans="1:2">
      <c r="A3205" s="112">
        <v>4361100</v>
      </c>
      <c r="B3205" s="110" t="s">
        <v>1244</v>
      </c>
    </row>
    <row r="3206" spans="1:2">
      <c r="A3206" s="112">
        <v>4361200</v>
      </c>
      <c r="B3206" s="110" t="s">
        <v>156</v>
      </c>
    </row>
    <row r="3207" spans="1:2">
      <c r="A3207" s="112">
        <v>4361400</v>
      </c>
      <c r="B3207" s="110" t="s">
        <v>1756</v>
      </c>
    </row>
    <row r="3208" spans="1:2" ht="25.5">
      <c r="A3208" s="112">
        <v>4361500</v>
      </c>
      <c r="B3208" s="110" t="s">
        <v>1757</v>
      </c>
    </row>
    <row r="3209" spans="1:2">
      <c r="A3209" s="112">
        <v>4361600</v>
      </c>
      <c r="B3209" s="110" t="s">
        <v>1758</v>
      </c>
    </row>
    <row r="3210" spans="1:2">
      <c r="A3210" s="112">
        <v>4361700</v>
      </c>
      <c r="B3210" s="110" t="s">
        <v>1759</v>
      </c>
    </row>
    <row r="3211" spans="1:2">
      <c r="A3211" s="112">
        <v>4361800</v>
      </c>
      <c r="B3211" s="110" t="s">
        <v>1760</v>
      </c>
    </row>
    <row r="3212" spans="1:2">
      <c r="A3212" s="112">
        <v>4361900</v>
      </c>
      <c r="B3212" s="110" t="s">
        <v>1761</v>
      </c>
    </row>
    <row r="3213" spans="1:2" ht="25.5">
      <c r="A3213" s="112">
        <v>4361901</v>
      </c>
      <c r="B3213" s="110" t="s">
        <v>1229</v>
      </c>
    </row>
    <row r="3214" spans="1:2" ht="25.5">
      <c r="A3214" s="112">
        <v>4361902</v>
      </c>
      <c r="B3214" s="110" t="s">
        <v>1230</v>
      </c>
    </row>
    <row r="3215" spans="1:2">
      <c r="A3215" s="112">
        <v>4362000</v>
      </c>
      <c r="B3215" s="110" t="s">
        <v>1231</v>
      </c>
    </row>
    <row r="3216" spans="1:2">
      <c r="A3216" s="112">
        <v>4362100</v>
      </c>
      <c r="B3216" s="110" t="s">
        <v>1232</v>
      </c>
    </row>
    <row r="3217" spans="1:2">
      <c r="A3217" s="112">
        <v>4362102</v>
      </c>
      <c r="B3217" s="110" t="s">
        <v>2167</v>
      </c>
    </row>
    <row r="3218" spans="1:2">
      <c r="A3218" s="112">
        <v>4362700</v>
      </c>
      <c r="B3218" s="110" t="s">
        <v>2232</v>
      </c>
    </row>
    <row r="3219" spans="1:2">
      <c r="A3219" s="112">
        <v>4362701</v>
      </c>
      <c r="B3219" s="110" t="s">
        <v>2233</v>
      </c>
    </row>
    <row r="3220" spans="1:2">
      <c r="A3220" s="112">
        <v>4362703</v>
      </c>
      <c r="B3220" s="110" t="s">
        <v>2234</v>
      </c>
    </row>
    <row r="3221" spans="1:2" ht="25.5">
      <c r="A3221" s="112">
        <v>4369300</v>
      </c>
      <c r="B3221" s="110" t="s">
        <v>660</v>
      </c>
    </row>
    <row r="3222" spans="1:2">
      <c r="A3222" s="112">
        <v>4369400</v>
      </c>
      <c r="B3222" s="110" t="s">
        <v>623</v>
      </c>
    </row>
    <row r="3223" spans="1:2">
      <c r="A3223" s="112">
        <v>4400000</v>
      </c>
      <c r="B3223" s="110" t="s">
        <v>1233</v>
      </c>
    </row>
    <row r="3224" spans="1:2">
      <c r="A3224" s="112">
        <v>4400100</v>
      </c>
      <c r="B3224" s="110" t="s">
        <v>1197</v>
      </c>
    </row>
    <row r="3225" spans="1:2">
      <c r="A3225" s="112">
        <v>4400200</v>
      </c>
      <c r="B3225" s="110" t="s">
        <v>963</v>
      </c>
    </row>
    <row r="3226" spans="1:2" ht="25.5">
      <c r="A3226" s="112">
        <v>4400300</v>
      </c>
      <c r="B3226" s="110" t="s">
        <v>1891</v>
      </c>
    </row>
    <row r="3227" spans="1:2">
      <c r="A3227" s="112">
        <v>4400400</v>
      </c>
      <c r="B3227" s="110" t="s">
        <v>1892</v>
      </c>
    </row>
    <row r="3228" spans="1:2">
      <c r="A3228" s="112">
        <v>4400500</v>
      </c>
      <c r="B3228" s="110" t="s">
        <v>1088</v>
      </c>
    </row>
    <row r="3229" spans="1:2">
      <c r="A3229" s="112">
        <v>4400600</v>
      </c>
      <c r="B3229" s="110" t="s">
        <v>442</v>
      </c>
    </row>
    <row r="3230" spans="1:2">
      <c r="A3230" s="112">
        <v>4400700</v>
      </c>
      <c r="B3230" s="110" t="s">
        <v>338</v>
      </c>
    </row>
    <row r="3231" spans="1:2" ht="25.5">
      <c r="A3231" s="112">
        <v>4400800</v>
      </c>
      <c r="B3231" s="110" t="s">
        <v>1893</v>
      </c>
    </row>
    <row r="3232" spans="1:2">
      <c r="A3232" s="112">
        <v>4400900</v>
      </c>
      <c r="B3232" s="110" t="s">
        <v>1894</v>
      </c>
    </row>
    <row r="3233" spans="1:2">
      <c r="A3233" s="112">
        <v>4405800</v>
      </c>
      <c r="B3233" s="110" t="s">
        <v>579</v>
      </c>
    </row>
    <row r="3234" spans="1:2">
      <c r="A3234" s="112">
        <v>4409200</v>
      </c>
      <c r="B3234" s="110" t="s">
        <v>1551</v>
      </c>
    </row>
    <row r="3235" spans="1:2">
      <c r="A3235" s="112">
        <v>4409400</v>
      </c>
      <c r="B3235" s="110" t="s">
        <v>623</v>
      </c>
    </row>
    <row r="3236" spans="1:2">
      <c r="A3236" s="112">
        <v>4409900</v>
      </c>
      <c r="B3236" s="110" t="s">
        <v>52</v>
      </c>
    </row>
    <row r="3237" spans="1:2">
      <c r="A3237" s="112">
        <v>4410000</v>
      </c>
      <c r="B3237" s="110" t="s">
        <v>1447</v>
      </c>
    </row>
    <row r="3238" spans="1:2">
      <c r="A3238" s="112">
        <v>4415800</v>
      </c>
      <c r="B3238" s="110" t="s">
        <v>579</v>
      </c>
    </row>
    <row r="3239" spans="1:2">
      <c r="A3239" s="112">
        <v>4417100</v>
      </c>
      <c r="B3239" s="110" t="s">
        <v>897</v>
      </c>
    </row>
    <row r="3240" spans="1:2">
      <c r="A3240" s="112">
        <v>4417101</v>
      </c>
      <c r="B3240" s="110" t="s">
        <v>289</v>
      </c>
    </row>
    <row r="3241" spans="1:2">
      <c r="A3241" s="112">
        <v>4417102</v>
      </c>
      <c r="B3241" s="110" t="s">
        <v>167</v>
      </c>
    </row>
    <row r="3242" spans="1:2">
      <c r="A3242" s="112">
        <v>4417103</v>
      </c>
      <c r="B3242" s="110" t="s">
        <v>168</v>
      </c>
    </row>
    <row r="3243" spans="1:2">
      <c r="A3243" s="112">
        <v>4417200</v>
      </c>
      <c r="B3243" s="110" t="s">
        <v>231</v>
      </c>
    </row>
    <row r="3244" spans="1:2">
      <c r="A3244" s="112">
        <v>4417201</v>
      </c>
      <c r="B3244" s="110" t="s">
        <v>632</v>
      </c>
    </row>
    <row r="3245" spans="1:2">
      <c r="A3245" s="112">
        <v>4417202</v>
      </c>
      <c r="B3245" s="110" t="s">
        <v>633</v>
      </c>
    </row>
    <row r="3246" spans="1:2">
      <c r="A3246" s="112">
        <v>4417203</v>
      </c>
      <c r="B3246" s="110" t="s">
        <v>576</v>
      </c>
    </row>
    <row r="3247" spans="1:2">
      <c r="A3247" s="112">
        <v>4419200</v>
      </c>
      <c r="B3247" s="110" t="s">
        <v>1551</v>
      </c>
    </row>
    <row r="3248" spans="1:2">
      <c r="A3248" s="112">
        <v>4419900</v>
      </c>
      <c r="B3248" s="110" t="s">
        <v>52</v>
      </c>
    </row>
    <row r="3249" spans="1:2">
      <c r="A3249" s="112">
        <v>4420000</v>
      </c>
      <c r="B3249" s="110" t="s">
        <v>297</v>
      </c>
    </row>
    <row r="3250" spans="1:2">
      <c r="A3250" s="112">
        <v>4420100</v>
      </c>
      <c r="B3250" s="110" t="s">
        <v>227</v>
      </c>
    </row>
    <row r="3251" spans="1:2">
      <c r="A3251" s="112">
        <v>4429200</v>
      </c>
      <c r="B3251" s="110" t="s">
        <v>1551</v>
      </c>
    </row>
    <row r="3252" spans="1:2">
      <c r="A3252" s="112">
        <v>4429900</v>
      </c>
      <c r="B3252" s="110" t="s">
        <v>52</v>
      </c>
    </row>
    <row r="3253" spans="1:2">
      <c r="A3253" s="112">
        <v>4430000</v>
      </c>
      <c r="B3253" s="110" t="s">
        <v>1471</v>
      </c>
    </row>
    <row r="3254" spans="1:2">
      <c r="A3254" s="112">
        <v>4430100</v>
      </c>
      <c r="B3254" s="110" t="s">
        <v>1597</v>
      </c>
    </row>
    <row r="3255" spans="1:2">
      <c r="A3255" s="112">
        <v>4438500</v>
      </c>
      <c r="B3255" s="110" t="s">
        <v>1461</v>
      </c>
    </row>
    <row r="3256" spans="1:2">
      <c r="A3256" s="112">
        <v>4439200</v>
      </c>
      <c r="B3256" s="110" t="s">
        <v>1551</v>
      </c>
    </row>
    <row r="3257" spans="1:2">
      <c r="A3257" s="112">
        <v>4439900</v>
      </c>
      <c r="B3257" s="110" t="s">
        <v>52</v>
      </c>
    </row>
    <row r="3258" spans="1:2">
      <c r="A3258" s="112">
        <v>4440000</v>
      </c>
      <c r="B3258" s="110" t="s">
        <v>1895</v>
      </c>
    </row>
    <row r="3259" spans="1:2">
      <c r="A3259" s="112">
        <v>4440100</v>
      </c>
      <c r="B3259" s="110" t="s">
        <v>1896</v>
      </c>
    </row>
    <row r="3260" spans="1:2">
      <c r="A3260" s="112">
        <v>4440200</v>
      </c>
      <c r="B3260" s="110" t="s">
        <v>1897</v>
      </c>
    </row>
    <row r="3261" spans="1:2">
      <c r="A3261" s="112">
        <v>4500000</v>
      </c>
      <c r="B3261" s="110" t="s">
        <v>1898</v>
      </c>
    </row>
    <row r="3262" spans="1:2">
      <c r="A3262" s="112">
        <v>4500100</v>
      </c>
      <c r="B3262" s="110" t="s">
        <v>1088</v>
      </c>
    </row>
    <row r="3263" spans="1:2">
      <c r="A3263" s="112">
        <v>4500200</v>
      </c>
      <c r="B3263" s="110" t="s">
        <v>442</v>
      </c>
    </row>
    <row r="3264" spans="1:2">
      <c r="A3264" s="112">
        <v>4500300</v>
      </c>
      <c r="B3264" s="110" t="s">
        <v>338</v>
      </c>
    </row>
    <row r="3265" spans="1:2">
      <c r="A3265" s="112">
        <v>4500500</v>
      </c>
      <c r="B3265" s="110" t="s">
        <v>169</v>
      </c>
    </row>
    <row r="3266" spans="1:2">
      <c r="A3266" s="112">
        <v>4500600</v>
      </c>
      <c r="B3266" s="110" t="s">
        <v>963</v>
      </c>
    </row>
    <row r="3267" spans="1:2" ht="25.5">
      <c r="A3267" s="112">
        <v>4500700</v>
      </c>
      <c r="B3267" s="110" t="s">
        <v>1899</v>
      </c>
    </row>
    <row r="3268" spans="1:2">
      <c r="A3268" s="112">
        <v>4505800</v>
      </c>
      <c r="B3268" s="110" t="s">
        <v>579</v>
      </c>
    </row>
    <row r="3269" spans="1:2">
      <c r="A3269" s="112">
        <v>4506700</v>
      </c>
      <c r="B3269" s="110" t="s">
        <v>48</v>
      </c>
    </row>
    <row r="3270" spans="1:2">
      <c r="A3270" s="112">
        <v>4508500</v>
      </c>
      <c r="B3270" s="110" t="s">
        <v>1461</v>
      </c>
    </row>
    <row r="3271" spans="1:2">
      <c r="A3271" s="112">
        <v>4509000</v>
      </c>
      <c r="B3271" s="110" t="s">
        <v>942</v>
      </c>
    </row>
    <row r="3272" spans="1:2" ht="25.5">
      <c r="A3272" s="112">
        <v>4509300</v>
      </c>
      <c r="B3272" s="110" t="s">
        <v>660</v>
      </c>
    </row>
    <row r="3273" spans="1:2">
      <c r="A3273" s="112">
        <v>4509400</v>
      </c>
      <c r="B3273" s="110" t="s">
        <v>623</v>
      </c>
    </row>
    <row r="3274" spans="1:2">
      <c r="A3274" s="112">
        <v>4510000</v>
      </c>
      <c r="B3274" s="110" t="s">
        <v>1472</v>
      </c>
    </row>
    <row r="3275" spans="1:2">
      <c r="A3275" s="112">
        <v>4510100</v>
      </c>
      <c r="B3275" s="110" t="s">
        <v>667</v>
      </c>
    </row>
    <row r="3276" spans="1:2" ht="76.5">
      <c r="A3276" s="112">
        <v>4510102</v>
      </c>
      <c r="B3276" s="111" t="s">
        <v>42</v>
      </c>
    </row>
    <row r="3277" spans="1:2" ht="63.75">
      <c r="A3277" s="112">
        <v>4510103</v>
      </c>
      <c r="B3277" s="111" t="s">
        <v>802</v>
      </c>
    </row>
    <row r="3278" spans="1:2">
      <c r="A3278" s="112">
        <v>4518500</v>
      </c>
      <c r="B3278" s="110" t="s">
        <v>1461</v>
      </c>
    </row>
    <row r="3279" spans="1:2" ht="25.5">
      <c r="A3279" s="112">
        <v>4520000</v>
      </c>
      <c r="B3279" s="110" t="s">
        <v>25</v>
      </c>
    </row>
    <row r="3280" spans="1:2">
      <c r="A3280" s="112">
        <v>4529900</v>
      </c>
      <c r="B3280" s="110" t="s">
        <v>52</v>
      </c>
    </row>
    <row r="3281" spans="1:2">
      <c r="A3281" s="112">
        <v>4530000</v>
      </c>
      <c r="B3281" s="110" t="s">
        <v>26</v>
      </c>
    </row>
    <row r="3282" spans="1:2">
      <c r="A3282" s="112">
        <v>4530100</v>
      </c>
      <c r="B3282" s="110" t="s">
        <v>27</v>
      </c>
    </row>
    <row r="3283" spans="1:2" ht="38.25">
      <c r="A3283" s="112">
        <v>4530101</v>
      </c>
      <c r="B3283" s="111" t="s">
        <v>909</v>
      </c>
    </row>
    <row r="3284" spans="1:2" ht="63.75">
      <c r="A3284" s="112">
        <v>4530102</v>
      </c>
      <c r="B3284" s="111" t="s">
        <v>249</v>
      </c>
    </row>
    <row r="3285" spans="1:2" ht="63.75">
      <c r="A3285" s="112">
        <v>4530103</v>
      </c>
      <c r="B3285" s="111" t="s">
        <v>1900</v>
      </c>
    </row>
    <row r="3286" spans="1:2" ht="51">
      <c r="A3286" s="112">
        <v>4530104</v>
      </c>
      <c r="B3286" s="111" t="s">
        <v>1105</v>
      </c>
    </row>
    <row r="3287" spans="1:2" ht="25.5">
      <c r="A3287" s="112">
        <v>4530105</v>
      </c>
      <c r="B3287" s="110" t="s">
        <v>1901</v>
      </c>
    </row>
    <row r="3288" spans="1:2" ht="38.25">
      <c r="A3288" s="112">
        <v>4530106</v>
      </c>
      <c r="B3288" s="110" t="s">
        <v>1902</v>
      </c>
    </row>
    <row r="3289" spans="1:2" ht="51">
      <c r="A3289" s="112">
        <v>4530107</v>
      </c>
      <c r="B3289" s="111" t="s">
        <v>1903</v>
      </c>
    </row>
    <row r="3290" spans="1:2" ht="25.5">
      <c r="A3290" s="112">
        <v>4530109</v>
      </c>
      <c r="B3290" s="110" t="s">
        <v>1904</v>
      </c>
    </row>
    <row r="3291" spans="1:2" ht="25.5">
      <c r="A3291" s="112">
        <v>4530111</v>
      </c>
      <c r="B3291" s="110" t="s">
        <v>1905</v>
      </c>
    </row>
    <row r="3292" spans="1:2">
      <c r="A3292" s="112">
        <v>4538500</v>
      </c>
      <c r="B3292" s="110" t="s">
        <v>1461</v>
      </c>
    </row>
    <row r="3293" spans="1:2">
      <c r="A3293" s="112">
        <v>4539400</v>
      </c>
      <c r="B3293" s="110" t="s">
        <v>623</v>
      </c>
    </row>
    <row r="3294" spans="1:2">
      <c r="A3294" s="112">
        <v>4539900</v>
      </c>
      <c r="B3294" s="110" t="s">
        <v>52</v>
      </c>
    </row>
    <row r="3295" spans="1:2">
      <c r="A3295" s="112">
        <v>4550000</v>
      </c>
      <c r="B3295" s="110" t="s">
        <v>811</v>
      </c>
    </row>
    <row r="3296" spans="1:2" ht="25.5">
      <c r="A3296" s="112">
        <v>4550100</v>
      </c>
      <c r="B3296" s="110" t="s">
        <v>496</v>
      </c>
    </row>
    <row r="3297" spans="1:2" ht="25.5">
      <c r="A3297" s="112">
        <v>4550101</v>
      </c>
      <c r="B3297" s="110" t="s">
        <v>244</v>
      </c>
    </row>
    <row r="3298" spans="1:2" ht="25.5">
      <c r="A3298" s="112">
        <v>4550102</v>
      </c>
      <c r="B3298" s="110" t="s">
        <v>417</v>
      </c>
    </row>
    <row r="3299" spans="1:2">
      <c r="A3299" s="112">
        <v>4555800</v>
      </c>
      <c r="B3299" s="110" t="s">
        <v>579</v>
      </c>
    </row>
    <row r="3300" spans="1:2">
      <c r="A3300" s="112">
        <v>4556800</v>
      </c>
      <c r="B3300" s="110" t="s">
        <v>618</v>
      </c>
    </row>
    <row r="3301" spans="1:2">
      <c r="A3301" s="112">
        <v>4556801</v>
      </c>
      <c r="B3301" s="110" t="s">
        <v>386</v>
      </c>
    </row>
    <row r="3302" spans="1:2" ht="13.5" customHeight="1">
      <c r="A3302" s="112">
        <v>4556802</v>
      </c>
      <c r="B3302" s="110" t="s">
        <v>160</v>
      </c>
    </row>
    <row r="3303" spans="1:2">
      <c r="A3303" s="112">
        <v>4557100</v>
      </c>
      <c r="B3303" s="110" t="s">
        <v>897</v>
      </c>
    </row>
    <row r="3304" spans="1:2">
      <c r="A3304" s="112">
        <v>4557101</v>
      </c>
      <c r="B3304" s="110" t="s">
        <v>289</v>
      </c>
    </row>
    <row r="3305" spans="1:2">
      <c r="A3305" s="112">
        <v>4557102</v>
      </c>
      <c r="B3305" s="110" t="s">
        <v>167</v>
      </c>
    </row>
    <row r="3306" spans="1:2">
      <c r="A3306" s="112">
        <v>4557103</v>
      </c>
      <c r="B3306" s="110" t="s">
        <v>168</v>
      </c>
    </row>
    <row r="3307" spans="1:2">
      <c r="A3307" s="112">
        <v>4557200</v>
      </c>
      <c r="B3307" s="110" t="s">
        <v>231</v>
      </c>
    </row>
    <row r="3308" spans="1:2">
      <c r="A3308" s="112">
        <v>4557201</v>
      </c>
      <c r="B3308" s="110" t="s">
        <v>632</v>
      </c>
    </row>
    <row r="3309" spans="1:2">
      <c r="A3309" s="112">
        <v>4557202</v>
      </c>
      <c r="B3309" s="110" t="s">
        <v>633</v>
      </c>
    </row>
    <row r="3310" spans="1:2">
      <c r="A3310" s="112">
        <v>4557203</v>
      </c>
      <c r="B3310" s="110" t="s">
        <v>576</v>
      </c>
    </row>
    <row r="3311" spans="1:2">
      <c r="A3311" s="112">
        <v>4558500</v>
      </c>
      <c r="B3311" s="110" t="s">
        <v>1461</v>
      </c>
    </row>
    <row r="3312" spans="1:2">
      <c r="A3312" s="112">
        <v>4559900</v>
      </c>
      <c r="B3312" s="110" t="s">
        <v>52</v>
      </c>
    </row>
    <row r="3313" spans="1:2">
      <c r="A3313" s="112">
        <v>4560000</v>
      </c>
      <c r="B3313" s="110" t="s">
        <v>55</v>
      </c>
    </row>
    <row r="3314" spans="1:2" ht="25.5">
      <c r="A3314" s="112">
        <v>4560100</v>
      </c>
      <c r="B3314" s="110" t="s">
        <v>1208</v>
      </c>
    </row>
    <row r="3315" spans="1:2">
      <c r="A3315" s="112">
        <v>4560101</v>
      </c>
      <c r="B3315" s="110" t="s">
        <v>1507</v>
      </c>
    </row>
    <row r="3316" spans="1:2">
      <c r="A3316" s="112">
        <v>4560102</v>
      </c>
      <c r="B3316" s="110" t="s">
        <v>1508</v>
      </c>
    </row>
    <row r="3317" spans="1:2">
      <c r="A3317" s="112">
        <v>4568500</v>
      </c>
      <c r="B3317" s="110" t="s">
        <v>1461</v>
      </c>
    </row>
    <row r="3318" spans="1:2">
      <c r="A3318" s="112">
        <v>4570000</v>
      </c>
      <c r="B3318" s="110" t="s">
        <v>875</v>
      </c>
    </row>
    <row r="3319" spans="1:2" ht="25.5">
      <c r="A3319" s="112">
        <v>4570100</v>
      </c>
      <c r="B3319" s="110" t="s">
        <v>1906</v>
      </c>
    </row>
    <row r="3320" spans="1:2">
      <c r="A3320" s="112">
        <v>4575800</v>
      </c>
      <c r="B3320" s="110" t="s">
        <v>579</v>
      </c>
    </row>
    <row r="3321" spans="1:2">
      <c r="A3321" s="112">
        <v>4577100</v>
      </c>
      <c r="B3321" s="110" t="s">
        <v>897</v>
      </c>
    </row>
    <row r="3322" spans="1:2">
      <c r="A3322" s="112">
        <v>4577101</v>
      </c>
      <c r="B3322" s="110" t="s">
        <v>289</v>
      </c>
    </row>
    <row r="3323" spans="1:2">
      <c r="A3323" s="112">
        <v>4577102</v>
      </c>
      <c r="B3323" s="110" t="s">
        <v>167</v>
      </c>
    </row>
    <row r="3324" spans="1:2">
      <c r="A3324" s="112">
        <v>4577103</v>
      </c>
      <c r="B3324" s="110" t="s">
        <v>168</v>
      </c>
    </row>
    <row r="3325" spans="1:2">
      <c r="A3325" s="112">
        <v>4577200</v>
      </c>
      <c r="B3325" s="110" t="s">
        <v>231</v>
      </c>
    </row>
    <row r="3326" spans="1:2">
      <c r="A3326" s="112">
        <v>4577201</v>
      </c>
      <c r="B3326" s="110" t="s">
        <v>632</v>
      </c>
    </row>
    <row r="3327" spans="1:2">
      <c r="A3327" s="112">
        <v>4577202</v>
      </c>
      <c r="B3327" s="110" t="s">
        <v>633</v>
      </c>
    </row>
    <row r="3328" spans="1:2">
      <c r="A3328" s="112">
        <v>4577203</v>
      </c>
      <c r="B3328" s="110" t="s">
        <v>576</v>
      </c>
    </row>
    <row r="3329" spans="1:2">
      <c r="A3329" s="112">
        <v>4577600</v>
      </c>
      <c r="B3329" s="110" t="s">
        <v>1081</v>
      </c>
    </row>
    <row r="3330" spans="1:2">
      <c r="A3330" s="112">
        <v>4578500</v>
      </c>
      <c r="B3330" s="110" t="s">
        <v>1461</v>
      </c>
    </row>
    <row r="3331" spans="1:2">
      <c r="A3331" s="112">
        <v>4579900</v>
      </c>
      <c r="B3331" s="110" t="s">
        <v>52</v>
      </c>
    </row>
    <row r="3332" spans="1:2">
      <c r="A3332" s="112">
        <v>4680000</v>
      </c>
      <c r="B3332" s="110" t="s">
        <v>477</v>
      </c>
    </row>
    <row r="3333" spans="1:2">
      <c r="A3333" s="112">
        <v>4689900</v>
      </c>
      <c r="B3333" s="110" t="s">
        <v>52</v>
      </c>
    </row>
    <row r="3334" spans="1:2">
      <c r="A3334" s="112">
        <v>4690000</v>
      </c>
      <c r="B3334" s="110" t="s">
        <v>876</v>
      </c>
    </row>
    <row r="3335" spans="1:2">
      <c r="A3335" s="112">
        <v>4695800</v>
      </c>
      <c r="B3335" s="110" t="s">
        <v>579</v>
      </c>
    </row>
    <row r="3336" spans="1:2">
      <c r="A3336" s="112">
        <v>4697100</v>
      </c>
      <c r="B3336" s="110" t="s">
        <v>897</v>
      </c>
    </row>
    <row r="3337" spans="1:2">
      <c r="A3337" s="112">
        <v>4697101</v>
      </c>
      <c r="B3337" s="110" t="s">
        <v>289</v>
      </c>
    </row>
    <row r="3338" spans="1:2">
      <c r="A3338" s="112">
        <v>4697102</v>
      </c>
      <c r="B3338" s="110" t="s">
        <v>167</v>
      </c>
    </row>
    <row r="3339" spans="1:2">
      <c r="A3339" s="112">
        <v>4697103</v>
      </c>
      <c r="B3339" s="110" t="s">
        <v>168</v>
      </c>
    </row>
    <row r="3340" spans="1:2">
      <c r="A3340" s="112">
        <v>4697200</v>
      </c>
      <c r="B3340" s="110" t="s">
        <v>231</v>
      </c>
    </row>
    <row r="3341" spans="1:2">
      <c r="A3341" s="112">
        <v>4697201</v>
      </c>
      <c r="B3341" s="110" t="s">
        <v>632</v>
      </c>
    </row>
    <row r="3342" spans="1:2">
      <c r="A3342" s="112">
        <v>4697202</v>
      </c>
      <c r="B3342" s="110" t="s">
        <v>633</v>
      </c>
    </row>
    <row r="3343" spans="1:2">
      <c r="A3343" s="112">
        <v>4697203</v>
      </c>
      <c r="B3343" s="110" t="s">
        <v>576</v>
      </c>
    </row>
    <row r="3344" spans="1:2">
      <c r="A3344" s="112">
        <v>4699900</v>
      </c>
      <c r="B3344" s="110" t="s">
        <v>52</v>
      </c>
    </row>
    <row r="3345" spans="1:2">
      <c r="A3345" s="112">
        <v>4700000</v>
      </c>
      <c r="B3345" s="110" t="s">
        <v>1345</v>
      </c>
    </row>
    <row r="3346" spans="1:2" ht="51">
      <c r="A3346" s="112">
        <v>4700100</v>
      </c>
      <c r="B3346" s="111" t="s">
        <v>1216</v>
      </c>
    </row>
    <row r="3347" spans="1:2">
      <c r="A3347" s="112">
        <v>4700200</v>
      </c>
      <c r="B3347" s="110" t="s">
        <v>480</v>
      </c>
    </row>
    <row r="3348" spans="1:2" ht="38.25">
      <c r="A3348" s="112">
        <v>4700300</v>
      </c>
      <c r="B3348" s="111" t="s">
        <v>1217</v>
      </c>
    </row>
    <row r="3349" spans="1:2">
      <c r="A3349" s="112">
        <v>4705800</v>
      </c>
      <c r="B3349" s="110" t="s">
        <v>579</v>
      </c>
    </row>
    <row r="3350" spans="1:2">
      <c r="A3350" s="112">
        <v>4706200</v>
      </c>
      <c r="B3350" s="110" t="s">
        <v>153</v>
      </c>
    </row>
    <row r="3351" spans="1:2">
      <c r="A3351" s="112">
        <v>4706800</v>
      </c>
      <c r="B3351" s="110" t="s">
        <v>618</v>
      </c>
    </row>
    <row r="3352" spans="1:2">
      <c r="A3352" s="112">
        <v>4706801</v>
      </c>
      <c r="B3352" s="110" t="s">
        <v>386</v>
      </c>
    </row>
    <row r="3353" spans="1:2" ht="25.5">
      <c r="A3353" s="112">
        <v>4706802</v>
      </c>
      <c r="B3353" s="110" t="s">
        <v>160</v>
      </c>
    </row>
    <row r="3354" spans="1:2">
      <c r="A3354" s="112">
        <v>4707100</v>
      </c>
      <c r="B3354" s="110" t="s">
        <v>897</v>
      </c>
    </row>
    <row r="3355" spans="1:2">
      <c r="A3355" s="112">
        <v>4707101</v>
      </c>
      <c r="B3355" s="110" t="s">
        <v>289</v>
      </c>
    </row>
    <row r="3356" spans="1:2">
      <c r="A3356" s="112">
        <v>4707102</v>
      </c>
      <c r="B3356" s="110" t="s">
        <v>167</v>
      </c>
    </row>
    <row r="3357" spans="1:2">
      <c r="A3357" s="112">
        <v>4707103</v>
      </c>
      <c r="B3357" s="110" t="s">
        <v>168</v>
      </c>
    </row>
    <row r="3358" spans="1:2">
      <c r="A3358" s="112">
        <v>4707200</v>
      </c>
      <c r="B3358" s="110" t="s">
        <v>231</v>
      </c>
    </row>
    <row r="3359" spans="1:2">
      <c r="A3359" s="112">
        <v>4707201</v>
      </c>
      <c r="B3359" s="110" t="s">
        <v>632</v>
      </c>
    </row>
    <row r="3360" spans="1:2">
      <c r="A3360" s="112">
        <v>4707202</v>
      </c>
      <c r="B3360" s="110" t="s">
        <v>633</v>
      </c>
    </row>
    <row r="3361" spans="1:2">
      <c r="A3361" s="112">
        <v>4707203</v>
      </c>
      <c r="B3361" s="110" t="s">
        <v>576</v>
      </c>
    </row>
    <row r="3362" spans="1:2">
      <c r="A3362" s="112">
        <v>4707600</v>
      </c>
      <c r="B3362" s="110" t="s">
        <v>1081</v>
      </c>
    </row>
    <row r="3363" spans="1:2">
      <c r="A3363" s="112">
        <v>4709900</v>
      </c>
      <c r="B3363" s="110" t="s">
        <v>52</v>
      </c>
    </row>
    <row r="3364" spans="1:2">
      <c r="A3364" s="112">
        <v>4710000</v>
      </c>
      <c r="B3364" s="110" t="s">
        <v>877</v>
      </c>
    </row>
    <row r="3365" spans="1:2">
      <c r="A3365" s="112">
        <v>4715800</v>
      </c>
      <c r="B3365" s="110" t="s">
        <v>579</v>
      </c>
    </row>
    <row r="3366" spans="1:2">
      <c r="A3366" s="112">
        <v>4716200</v>
      </c>
      <c r="B3366" s="110" t="s">
        <v>153</v>
      </c>
    </row>
    <row r="3367" spans="1:2">
      <c r="A3367" s="112">
        <v>4716800</v>
      </c>
      <c r="B3367" s="110" t="s">
        <v>49</v>
      </c>
    </row>
    <row r="3368" spans="1:2">
      <c r="A3368" s="112">
        <v>4716801</v>
      </c>
      <c r="B3368" s="110" t="s">
        <v>386</v>
      </c>
    </row>
    <row r="3369" spans="1:2" ht="25.5">
      <c r="A3369" s="112">
        <v>4716802</v>
      </c>
      <c r="B3369" s="110" t="s">
        <v>160</v>
      </c>
    </row>
    <row r="3370" spans="1:2">
      <c r="A3370" s="112">
        <v>4717100</v>
      </c>
      <c r="B3370" s="110" t="s">
        <v>897</v>
      </c>
    </row>
    <row r="3371" spans="1:2">
      <c r="A3371" s="112">
        <v>4717101</v>
      </c>
      <c r="B3371" s="110" t="s">
        <v>289</v>
      </c>
    </row>
    <row r="3372" spans="1:2">
      <c r="A3372" s="112">
        <v>4717102</v>
      </c>
      <c r="B3372" s="110" t="s">
        <v>167</v>
      </c>
    </row>
    <row r="3373" spans="1:2">
      <c r="A3373" s="112">
        <v>4717103</v>
      </c>
      <c r="B3373" s="110" t="s">
        <v>168</v>
      </c>
    </row>
    <row r="3374" spans="1:2">
      <c r="A3374" s="112">
        <v>4717200</v>
      </c>
      <c r="B3374" s="110" t="s">
        <v>231</v>
      </c>
    </row>
    <row r="3375" spans="1:2">
      <c r="A3375" s="112">
        <v>4717201</v>
      </c>
      <c r="B3375" s="110" t="s">
        <v>632</v>
      </c>
    </row>
    <row r="3376" spans="1:2">
      <c r="A3376" s="112">
        <v>4717202</v>
      </c>
      <c r="B3376" s="110" t="s">
        <v>633</v>
      </c>
    </row>
    <row r="3377" spans="1:2">
      <c r="A3377" s="112">
        <v>4717203</v>
      </c>
      <c r="B3377" s="110" t="s">
        <v>576</v>
      </c>
    </row>
    <row r="3378" spans="1:2">
      <c r="A3378" s="112">
        <v>4717600</v>
      </c>
      <c r="B3378" s="110" t="s">
        <v>1151</v>
      </c>
    </row>
    <row r="3379" spans="1:2">
      <c r="A3379" s="112">
        <v>4719900</v>
      </c>
      <c r="B3379" s="110" t="s">
        <v>52</v>
      </c>
    </row>
    <row r="3380" spans="1:2">
      <c r="A3380" s="112">
        <v>4720000</v>
      </c>
      <c r="B3380" s="110" t="s">
        <v>178</v>
      </c>
    </row>
    <row r="3381" spans="1:2">
      <c r="A3381" s="112">
        <v>4729900</v>
      </c>
      <c r="B3381" s="110" t="s">
        <v>52</v>
      </c>
    </row>
    <row r="3382" spans="1:2">
      <c r="A3382" s="112">
        <v>4730000</v>
      </c>
      <c r="B3382" s="110" t="s">
        <v>809</v>
      </c>
    </row>
    <row r="3383" spans="1:2">
      <c r="A3383" s="112">
        <v>4739900</v>
      </c>
      <c r="B3383" s="110" t="s">
        <v>52</v>
      </c>
    </row>
    <row r="3384" spans="1:2">
      <c r="A3384" s="112">
        <v>4740000</v>
      </c>
      <c r="B3384" s="110" t="s">
        <v>286</v>
      </c>
    </row>
    <row r="3385" spans="1:2">
      <c r="A3385" s="112">
        <v>4749900</v>
      </c>
      <c r="B3385" s="110" t="s">
        <v>52</v>
      </c>
    </row>
    <row r="3386" spans="1:2">
      <c r="A3386" s="112">
        <v>4750000</v>
      </c>
      <c r="B3386" s="110" t="s">
        <v>914</v>
      </c>
    </row>
    <row r="3387" spans="1:2">
      <c r="A3387" s="112">
        <v>4755800</v>
      </c>
      <c r="B3387" s="110" t="s">
        <v>579</v>
      </c>
    </row>
    <row r="3388" spans="1:2">
      <c r="A3388" s="112">
        <v>4756800</v>
      </c>
      <c r="B3388" s="110" t="s">
        <v>618</v>
      </c>
    </row>
    <row r="3389" spans="1:2">
      <c r="A3389" s="112">
        <v>4756801</v>
      </c>
      <c r="B3389" s="110" t="s">
        <v>386</v>
      </c>
    </row>
    <row r="3390" spans="1:2" ht="25.5">
      <c r="A3390" s="112">
        <v>4756802</v>
      </c>
      <c r="B3390" s="110" t="s">
        <v>160</v>
      </c>
    </row>
    <row r="3391" spans="1:2">
      <c r="A3391" s="112">
        <v>4757100</v>
      </c>
      <c r="B3391" s="110" t="s">
        <v>897</v>
      </c>
    </row>
    <row r="3392" spans="1:2">
      <c r="A3392" s="112">
        <v>4757101</v>
      </c>
      <c r="B3392" s="110" t="s">
        <v>289</v>
      </c>
    </row>
    <row r="3393" spans="1:2">
      <c r="A3393" s="112">
        <v>4757102</v>
      </c>
      <c r="B3393" s="110" t="s">
        <v>167</v>
      </c>
    </row>
    <row r="3394" spans="1:2">
      <c r="A3394" s="112">
        <v>4757103</v>
      </c>
      <c r="B3394" s="110" t="s">
        <v>168</v>
      </c>
    </row>
    <row r="3395" spans="1:2">
      <c r="A3395" s="112">
        <v>4757200</v>
      </c>
      <c r="B3395" s="110" t="s">
        <v>231</v>
      </c>
    </row>
    <row r="3396" spans="1:2">
      <c r="A3396" s="112">
        <v>4757201</v>
      </c>
      <c r="B3396" s="110" t="s">
        <v>632</v>
      </c>
    </row>
    <row r="3397" spans="1:2">
      <c r="A3397" s="112">
        <v>4757202</v>
      </c>
      <c r="B3397" s="110" t="s">
        <v>633</v>
      </c>
    </row>
    <row r="3398" spans="1:2">
      <c r="A3398" s="112">
        <v>4757203</v>
      </c>
      <c r="B3398" s="110" t="s">
        <v>576</v>
      </c>
    </row>
    <row r="3399" spans="1:2">
      <c r="A3399" s="112">
        <v>4757600</v>
      </c>
      <c r="B3399" s="110" t="s">
        <v>1081</v>
      </c>
    </row>
    <row r="3400" spans="1:2">
      <c r="A3400" s="112">
        <v>4759900</v>
      </c>
      <c r="B3400" s="110" t="s">
        <v>52</v>
      </c>
    </row>
    <row r="3401" spans="1:2">
      <c r="A3401" s="112">
        <v>4790000</v>
      </c>
      <c r="B3401" s="110" t="s">
        <v>180</v>
      </c>
    </row>
    <row r="3402" spans="1:2">
      <c r="A3402" s="112">
        <v>4799900</v>
      </c>
      <c r="B3402" s="110" t="s">
        <v>52</v>
      </c>
    </row>
    <row r="3403" spans="1:2">
      <c r="A3403" s="112">
        <v>4800000</v>
      </c>
      <c r="B3403" s="110" t="s">
        <v>932</v>
      </c>
    </row>
    <row r="3404" spans="1:2">
      <c r="A3404" s="112">
        <v>4805800</v>
      </c>
      <c r="B3404" s="110" t="s">
        <v>579</v>
      </c>
    </row>
    <row r="3405" spans="1:2">
      <c r="A3405" s="112">
        <v>4806800</v>
      </c>
      <c r="B3405" s="110" t="s">
        <v>49</v>
      </c>
    </row>
    <row r="3406" spans="1:2">
      <c r="A3406" s="112">
        <v>4806801</v>
      </c>
      <c r="B3406" s="110" t="s">
        <v>386</v>
      </c>
    </row>
    <row r="3407" spans="1:2" ht="25.5">
      <c r="A3407" s="112">
        <v>4806802</v>
      </c>
      <c r="B3407" s="110" t="s">
        <v>160</v>
      </c>
    </row>
    <row r="3408" spans="1:2">
      <c r="A3408" s="112">
        <v>4807100</v>
      </c>
      <c r="B3408" s="110" t="s">
        <v>897</v>
      </c>
    </row>
    <row r="3409" spans="1:2">
      <c r="A3409" s="112">
        <v>4807101</v>
      </c>
      <c r="B3409" s="110" t="s">
        <v>289</v>
      </c>
    </row>
    <row r="3410" spans="1:2">
      <c r="A3410" s="112">
        <v>4807102</v>
      </c>
      <c r="B3410" s="110" t="s">
        <v>167</v>
      </c>
    </row>
    <row r="3411" spans="1:2">
      <c r="A3411" s="112">
        <v>4807103</v>
      </c>
      <c r="B3411" s="110" t="s">
        <v>168</v>
      </c>
    </row>
    <row r="3412" spans="1:2">
      <c r="A3412" s="112">
        <v>4807200</v>
      </c>
      <c r="B3412" s="110" t="s">
        <v>231</v>
      </c>
    </row>
    <row r="3413" spans="1:2">
      <c r="A3413" s="112">
        <v>4807201</v>
      </c>
      <c r="B3413" s="110" t="s">
        <v>632</v>
      </c>
    </row>
    <row r="3414" spans="1:2">
      <c r="A3414" s="112">
        <v>4807202</v>
      </c>
      <c r="B3414" s="110" t="s">
        <v>633</v>
      </c>
    </row>
    <row r="3415" spans="1:2">
      <c r="A3415" s="112">
        <v>4807203</v>
      </c>
      <c r="B3415" s="110" t="s">
        <v>576</v>
      </c>
    </row>
    <row r="3416" spans="1:2">
      <c r="A3416" s="112">
        <v>4807600</v>
      </c>
      <c r="B3416" s="110" t="s">
        <v>1081</v>
      </c>
    </row>
    <row r="3417" spans="1:2">
      <c r="A3417" s="112">
        <v>4809900</v>
      </c>
      <c r="B3417" s="110" t="s">
        <v>52</v>
      </c>
    </row>
    <row r="3418" spans="1:2">
      <c r="A3418" s="112">
        <v>4810000</v>
      </c>
      <c r="B3418" s="110" t="s">
        <v>62</v>
      </c>
    </row>
    <row r="3419" spans="1:2">
      <c r="A3419" s="112">
        <v>4810100</v>
      </c>
      <c r="B3419" s="110" t="s">
        <v>492</v>
      </c>
    </row>
    <row r="3420" spans="1:2">
      <c r="A3420" s="112">
        <v>4810200</v>
      </c>
      <c r="B3420" s="110" t="s">
        <v>1550</v>
      </c>
    </row>
    <row r="3421" spans="1:2" ht="25.5">
      <c r="A3421" s="112">
        <v>4810300</v>
      </c>
      <c r="B3421" s="110" t="s">
        <v>1218</v>
      </c>
    </row>
    <row r="3422" spans="1:2" ht="25.5">
      <c r="A3422" s="112">
        <v>4810400</v>
      </c>
      <c r="B3422" s="110" t="s">
        <v>1219</v>
      </c>
    </row>
    <row r="3423" spans="1:2">
      <c r="A3423" s="112">
        <v>4817700</v>
      </c>
      <c r="B3423" s="110" t="s">
        <v>1193</v>
      </c>
    </row>
    <row r="3424" spans="1:2">
      <c r="A3424" s="112">
        <v>4820000</v>
      </c>
      <c r="B3424" s="110" t="s">
        <v>63</v>
      </c>
    </row>
    <row r="3425" spans="1:2">
      <c r="A3425" s="112">
        <v>4825800</v>
      </c>
      <c r="B3425" s="110" t="s">
        <v>579</v>
      </c>
    </row>
    <row r="3426" spans="1:2">
      <c r="A3426" s="112">
        <v>4827100</v>
      </c>
      <c r="B3426" s="110" t="s">
        <v>897</v>
      </c>
    </row>
    <row r="3427" spans="1:2">
      <c r="A3427" s="112">
        <v>4827101</v>
      </c>
      <c r="B3427" s="110" t="s">
        <v>289</v>
      </c>
    </row>
    <row r="3428" spans="1:2">
      <c r="A3428" s="112">
        <v>4827102</v>
      </c>
      <c r="B3428" s="110" t="s">
        <v>167</v>
      </c>
    </row>
    <row r="3429" spans="1:2">
      <c r="A3429" s="112">
        <v>4827103</v>
      </c>
      <c r="B3429" s="110" t="s">
        <v>168</v>
      </c>
    </row>
    <row r="3430" spans="1:2">
      <c r="A3430" s="112">
        <v>4827200</v>
      </c>
      <c r="B3430" s="110" t="s">
        <v>231</v>
      </c>
    </row>
    <row r="3431" spans="1:2">
      <c r="A3431" s="112">
        <v>4827201</v>
      </c>
      <c r="B3431" s="110" t="s">
        <v>632</v>
      </c>
    </row>
    <row r="3432" spans="1:2">
      <c r="A3432" s="112">
        <v>4827202</v>
      </c>
      <c r="B3432" s="110" t="s">
        <v>633</v>
      </c>
    </row>
    <row r="3433" spans="1:2">
      <c r="A3433" s="112">
        <v>4827203</v>
      </c>
      <c r="B3433" s="110" t="s">
        <v>576</v>
      </c>
    </row>
    <row r="3434" spans="1:2">
      <c r="A3434" s="112">
        <v>4829900</v>
      </c>
      <c r="B3434" s="110" t="s">
        <v>52</v>
      </c>
    </row>
    <row r="3435" spans="1:2">
      <c r="A3435" s="112">
        <v>4830000</v>
      </c>
      <c r="B3435" s="110" t="s">
        <v>64</v>
      </c>
    </row>
    <row r="3436" spans="1:2">
      <c r="A3436" s="112">
        <v>4839900</v>
      </c>
      <c r="B3436" s="110" t="s">
        <v>52</v>
      </c>
    </row>
    <row r="3437" spans="1:2">
      <c r="A3437" s="112">
        <v>4840000</v>
      </c>
      <c r="B3437" s="110" t="s">
        <v>260</v>
      </c>
    </row>
    <row r="3438" spans="1:2">
      <c r="A3438" s="112">
        <v>4849900</v>
      </c>
      <c r="B3438" s="110" t="s">
        <v>52</v>
      </c>
    </row>
    <row r="3439" spans="1:2">
      <c r="A3439" s="112">
        <v>4850000</v>
      </c>
      <c r="B3439" s="110" t="s">
        <v>1220</v>
      </c>
    </row>
    <row r="3440" spans="1:2">
      <c r="A3440" s="112">
        <v>4850100</v>
      </c>
      <c r="B3440" s="110" t="s">
        <v>357</v>
      </c>
    </row>
    <row r="3441" spans="1:2">
      <c r="A3441" s="112">
        <v>4850200</v>
      </c>
      <c r="B3441" s="110" t="s">
        <v>304</v>
      </c>
    </row>
    <row r="3442" spans="1:2" ht="38.25">
      <c r="A3442" s="112">
        <v>4850300</v>
      </c>
      <c r="B3442" s="111" t="s">
        <v>1221</v>
      </c>
    </row>
    <row r="3443" spans="1:2" ht="25.5">
      <c r="A3443" s="112">
        <v>4850400</v>
      </c>
      <c r="B3443" s="110" t="s">
        <v>1222</v>
      </c>
    </row>
    <row r="3444" spans="1:2">
      <c r="A3444" s="112">
        <v>4850500</v>
      </c>
      <c r="B3444" s="110" t="s">
        <v>1223</v>
      </c>
    </row>
    <row r="3445" spans="1:2">
      <c r="A3445" s="112">
        <v>4850600</v>
      </c>
      <c r="B3445" s="110" t="s">
        <v>284</v>
      </c>
    </row>
    <row r="3446" spans="1:2">
      <c r="A3446" s="112">
        <v>4850700</v>
      </c>
      <c r="B3446" s="110" t="s">
        <v>1181</v>
      </c>
    </row>
    <row r="3447" spans="1:2">
      <c r="A3447" s="112">
        <v>4850800</v>
      </c>
      <c r="B3447" s="110" t="s">
        <v>514</v>
      </c>
    </row>
    <row r="3448" spans="1:2">
      <c r="A3448" s="112">
        <v>4850900</v>
      </c>
      <c r="B3448" s="110" t="s">
        <v>179</v>
      </c>
    </row>
    <row r="3449" spans="1:2" ht="38.25">
      <c r="A3449" s="112">
        <v>4851000</v>
      </c>
      <c r="B3449" s="111" t="s">
        <v>677</v>
      </c>
    </row>
    <row r="3450" spans="1:2">
      <c r="A3450" s="112">
        <v>4851300</v>
      </c>
      <c r="B3450" s="110" t="s">
        <v>678</v>
      </c>
    </row>
    <row r="3451" spans="1:2" ht="51">
      <c r="A3451" s="112">
        <v>4851400</v>
      </c>
      <c r="B3451" s="111" t="s">
        <v>679</v>
      </c>
    </row>
    <row r="3452" spans="1:2">
      <c r="A3452" s="112">
        <v>4851600</v>
      </c>
      <c r="B3452" s="110" t="s">
        <v>680</v>
      </c>
    </row>
    <row r="3453" spans="1:2" ht="25.5">
      <c r="A3453" s="112">
        <v>4851700</v>
      </c>
      <c r="B3453" s="110" t="s">
        <v>681</v>
      </c>
    </row>
    <row r="3454" spans="1:2">
      <c r="A3454" s="112">
        <v>4851800</v>
      </c>
      <c r="B3454" s="110" t="s">
        <v>682</v>
      </c>
    </row>
    <row r="3455" spans="1:2" ht="25.5">
      <c r="A3455" s="112">
        <v>4851900</v>
      </c>
      <c r="B3455" s="110" t="s">
        <v>683</v>
      </c>
    </row>
    <row r="3456" spans="1:2">
      <c r="A3456" s="112">
        <v>4852000</v>
      </c>
      <c r="B3456" s="110" t="s">
        <v>684</v>
      </c>
    </row>
    <row r="3457" spans="1:2">
      <c r="A3457" s="112">
        <v>4852300</v>
      </c>
      <c r="B3457" s="110" t="s">
        <v>685</v>
      </c>
    </row>
    <row r="3458" spans="1:2">
      <c r="A3458" s="112">
        <v>4852400</v>
      </c>
      <c r="B3458" s="110" t="s">
        <v>1226</v>
      </c>
    </row>
    <row r="3459" spans="1:2">
      <c r="A3459" s="112">
        <v>4852500</v>
      </c>
      <c r="B3459" s="110" t="s">
        <v>1227</v>
      </c>
    </row>
    <row r="3460" spans="1:2">
      <c r="A3460" s="112">
        <v>4857700</v>
      </c>
      <c r="B3460" s="110" t="s">
        <v>1228</v>
      </c>
    </row>
    <row r="3461" spans="1:2">
      <c r="A3461" s="112">
        <v>4859700</v>
      </c>
      <c r="B3461" s="110" t="s">
        <v>1103</v>
      </c>
    </row>
    <row r="3462" spans="1:2">
      <c r="A3462" s="112">
        <v>4870000</v>
      </c>
      <c r="B3462" s="110" t="s">
        <v>686</v>
      </c>
    </row>
    <row r="3463" spans="1:2">
      <c r="A3463" s="112">
        <v>4870100</v>
      </c>
      <c r="B3463" s="110" t="s">
        <v>357</v>
      </c>
    </row>
    <row r="3464" spans="1:2" ht="25.5">
      <c r="A3464" s="112">
        <v>4870200</v>
      </c>
      <c r="B3464" s="110" t="s">
        <v>687</v>
      </c>
    </row>
    <row r="3465" spans="1:2">
      <c r="A3465" s="112">
        <v>4880000</v>
      </c>
      <c r="B3465" s="110" t="s">
        <v>688</v>
      </c>
    </row>
    <row r="3466" spans="1:2">
      <c r="A3466" s="112">
        <v>4900000</v>
      </c>
      <c r="B3466" s="110" t="s">
        <v>282</v>
      </c>
    </row>
    <row r="3467" spans="1:2" ht="38.25">
      <c r="A3467" s="112">
        <v>4900100</v>
      </c>
      <c r="B3467" s="111" t="s">
        <v>222</v>
      </c>
    </row>
    <row r="3468" spans="1:2" ht="25.5">
      <c r="A3468" s="112">
        <v>4900101</v>
      </c>
      <c r="B3468" s="110" t="s">
        <v>689</v>
      </c>
    </row>
    <row r="3469" spans="1:2" ht="38.25">
      <c r="A3469" s="112">
        <v>4900200</v>
      </c>
      <c r="B3469" s="110" t="s">
        <v>125</v>
      </c>
    </row>
    <row r="3470" spans="1:2">
      <c r="A3470" s="112">
        <v>4900201</v>
      </c>
      <c r="B3470" s="110" t="s">
        <v>126</v>
      </c>
    </row>
    <row r="3471" spans="1:2" ht="25.5">
      <c r="A3471" s="112">
        <v>4900300</v>
      </c>
      <c r="B3471" s="110" t="s">
        <v>690</v>
      </c>
    </row>
    <row r="3472" spans="1:2">
      <c r="A3472" s="112">
        <v>4900301</v>
      </c>
      <c r="B3472" s="110" t="s">
        <v>251</v>
      </c>
    </row>
    <row r="3473" spans="1:2">
      <c r="A3473" s="112">
        <v>4900400</v>
      </c>
      <c r="B3473" s="110" t="s">
        <v>691</v>
      </c>
    </row>
    <row r="3474" spans="1:2" ht="56.25" customHeight="1">
      <c r="A3474" s="112">
        <v>4900500</v>
      </c>
      <c r="B3474" s="110" t="s">
        <v>692</v>
      </c>
    </row>
    <row r="3475" spans="1:2">
      <c r="A3475" s="112">
        <v>4900501</v>
      </c>
      <c r="B3475" s="110" t="s">
        <v>693</v>
      </c>
    </row>
    <row r="3476" spans="1:2">
      <c r="A3476" s="112">
        <v>4910000</v>
      </c>
      <c r="B3476" s="110" t="s">
        <v>155</v>
      </c>
    </row>
    <row r="3477" spans="1:2">
      <c r="A3477" s="112">
        <v>4910100</v>
      </c>
      <c r="B3477" s="110" t="s">
        <v>900</v>
      </c>
    </row>
    <row r="3478" spans="1:2">
      <c r="A3478" s="112">
        <v>5000000</v>
      </c>
      <c r="B3478" s="110" t="s">
        <v>769</v>
      </c>
    </row>
    <row r="3479" spans="1:2">
      <c r="A3479" s="112">
        <v>5009900</v>
      </c>
      <c r="B3479" s="110" t="s">
        <v>52</v>
      </c>
    </row>
    <row r="3480" spans="1:2">
      <c r="A3480" s="112">
        <v>5010000</v>
      </c>
      <c r="B3480" s="110" t="s">
        <v>1842</v>
      </c>
    </row>
    <row r="3481" spans="1:2">
      <c r="A3481" s="112">
        <v>5019900</v>
      </c>
      <c r="B3481" s="110" t="s">
        <v>52</v>
      </c>
    </row>
    <row r="3482" spans="1:2">
      <c r="A3482" s="112">
        <v>5020000</v>
      </c>
      <c r="B3482" s="110" t="s">
        <v>1843</v>
      </c>
    </row>
    <row r="3483" spans="1:2">
      <c r="A3483" s="112">
        <v>5029900</v>
      </c>
      <c r="B3483" s="110" t="s">
        <v>52</v>
      </c>
    </row>
    <row r="3484" spans="1:2">
      <c r="A3484" s="112">
        <v>5050000</v>
      </c>
      <c r="B3484" s="110" t="s">
        <v>252</v>
      </c>
    </row>
    <row r="3485" spans="1:2" ht="25.5">
      <c r="A3485" s="112">
        <v>5050100</v>
      </c>
      <c r="B3485" s="110" t="s">
        <v>373</v>
      </c>
    </row>
    <row r="3486" spans="1:2" ht="25.5">
      <c r="A3486" s="112">
        <v>5050101</v>
      </c>
      <c r="B3486" s="110" t="s">
        <v>911</v>
      </c>
    </row>
    <row r="3487" spans="1:2" ht="25.5">
      <c r="A3487" s="112">
        <v>5050102</v>
      </c>
      <c r="B3487" s="110" t="s">
        <v>1448</v>
      </c>
    </row>
    <row r="3488" spans="1:2">
      <c r="A3488" s="112">
        <v>5050103</v>
      </c>
      <c r="B3488" s="110" t="s">
        <v>1391</v>
      </c>
    </row>
    <row r="3489" spans="1:2">
      <c r="A3489" s="112">
        <v>5050104</v>
      </c>
      <c r="B3489" s="110" t="s">
        <v>454</v>
      </c>
    </row>
    <row r="3490" spans="1:2">
      <c r="A3490" s="112">
        <v>5050105</v>
      </c>
      <c r="B3490" s="110" t="s">
        <v>729</v>
      </c>
    </row>
    <row r="3491" spans="1:2">
      <c r="A3491" s="112">
        <v>5050200</v>
      </c>
      <c r="B3491" s="110" t="s">
        <v>730</v>
      </c>
    </row>
    <row r="3492" spans="1:2" ht="25.5">
      <c r="A3492" s="112">
        <v>5050201</v>
      </c>
      <c r="B3492" s="110" t="s">
        <v>1537</v>
      </c>
    </row>
    <row r="3493" spans="1:2">
      <c r="A3493" s="112">
        <v>5050202</v>
      </c>
      <c r="B3493" s="110" t="s">
        <v>617</v>
      </c>
    </row>
    <row r="3494" spans="1:2">
      <c r="A3494" s="112">
        <v>5050300</v>
      </c>
      <c r="B3494" s="110" t="s">
        <v>694</v>
      </c>
    </row>
    <row r="3495" spans="1:2" ht="25.5">
      <c r="A3495" s="112">
        <v>5050301</v>
      </c>
      <c r="B3495" s="110" t="s">
        <v>695</v>
      </c>
    </row>
    <row r="3496" spans="1:2" ht="38.25">
      <c r="A3496" s="112">
        <v>5050302</v>
      </c>
      <c r="B3496" s="110" t="s">
        <v>696</v>
      </c>
    </row>
    <row r="3497" spans="1:2" ht="25.5">
      <c r="A3497" s="112">
        <v>5050303</v>
      </c>
      <c r="B3497" s="110" t="s">
        <v>1040</v>
      </c>
    </row>
    <row r="3498" spans="1:2">
      <c r="A3498" s="112">
        <v>5050304</v>
      </c>
      <c r="B3498" s="110" t="s">
        <v>697</v>
      </c>
    </row>
    <row r="3499" spans="1:2">
      <c r="A3499" s="112">
        <v>5050400</v>
      </c>
      <c r="B3499" s="110" t="s">
        <v>171</v>
      </c>
    </row>
    <row r="3500" spans="1:2">
      <c r="A3500" s="112">
        <v>5050401</v>
      </c>
      <c r="B3500" s="110" t="s">
        <v>2</v>
      </c>
    </row>
    <row r="3501" spans="1:2">
      <c r="A3501" s="112">
        <v>5050500</v>
      </c>
      <c r="B3501" s="110" t="s">
        <v>3</v>
      </c>
    </row>
    <row r="3502" spans="1:2" ht="25.5">
      <c r="A3502" s="112">
        <v>5050501</v>
      </c>
      <c r="B3502" s="110" t="s">
        <v>698</v>
      </c>
    </row>
    <row r="3503" spans="1:2">
      <c r="A3503" s="112">
        <v>5050502</v>
      </c>
      <c r="B3503" s="110" t="s">
        <v>361</v>
      </c>
    </row>
    <row r="3504" spans="1:2" ht="25.5">
      <c r="A3504" s="112">
        <v>5050503</v>
      </c>
      <c r="B3504" s="110" t="s">
        <v>1234</v>
      </c>
    </row>
    <row r="3505" spans="1:2" ht="25.5">
      <c r="A3505" s="112">
        <v>5050504</v>
      </c>
      <c r="B3505" s="110" t="s">
        <v>1235</v>
      </c>
    </row>
    <row r="3506" spans="1:2" ht="38.25">
      <c r="A3506" s="112">
        <v>5050505</v>
      </c>
      <c r="B3506" s="110" t="s">
        <v>1236</v>
      </c>
    </row>
    <row r="3507" spans="1:2">
      <c r="A3507" s="112">
        <v>5050506</v>
      </c>
      <c r="B3507" s="110" t="s">
        <v>525</v>
      </c>
    </row>
    <row r="3508" spans="1:2" ht="25.5">
      <c r="A3508" s="112">
        <v>5050507</v>
      </c>
      <c r="B3508" s="110" t="s">
        <v>1933</v>
      </c>
    </row>
    <row r="3509" spans="1:2" ht="38.25">
      <c r="A3509" s="112">
        <v>5050508</v>
      </c>
      <c r="B3509" s="110" t="s">
        <v>1491</v>
      </c>
    </row>
    <row r="3510" spans="1:2" ht="25.5">
      <c r="A3510" s="112">
        <v>5050509</v>
      </c>
      <c r="B3510" s="110" t="s">
        <v>1492</v>
      </c>
    </row>
    <row r="3511" spans="1:2" ht="25.5">
      <c r="A3511" s="112">
        <v>5050600</v>
      </c>
      <c r="B3511" s="110" t="s">
        <v>358</v>
      </c>
    </row>
    <row r="3512" spans="1:2" ht="25.5">
      <c r="A3512" s="112">
        <v>5050601</v>
      </c>
      <c r="B3512" s="110" t="s">
        <v>911</v>
      </c>
    </row>
    <row r="3513" spans="1:2" ht="25.5">
      <c r="A3513" s="112">
        <v>5050602</v>
      </c>
      <c r="B3513" s="110" t="s">
        <v>1448</v>
      </c>
    </row>
    <row r="3514" spans="1:2">
      <c r="A3514" s="112">
        <v>5050604</v>
      </c>
      <c r="B3514" s="110" t="s">
        <v>454</v>
      </c>
    </row>
    <row r="3515" spans="1:2" ht="38.25">
      <c r="A3515" s="112">
        <v>5050700</v>
      </c>
      <c r="B3515" s="110" t="s">
        <v>1493</v>
      </c>
    </row>
    <row r="3516" spans="1:2" ht="25.5">
      <c r="A3516" s="112">
        <v>5050701</v>
      </c>
      <c r="B3516" s="110" t="s">
        <v>911</v>
      </c>
    </row>
    <row r="3517" spans="1:2" ht="25.5">
      <c r="A3517" s="112">
        <v>5050702</v>
      </c>
      <c r="B3517" s="110" t="s">
        <v>1448</v>
      </c>
    </row>
    <row r="3518" spans="1:2">
      <c r="A3518" s="112">
        <v>5050703</v>
      </c>
      <c r="B3518" s="110" t="s">
        <v>1391</v>
      </c>
    </row>
    <row r="3519" spans="1:2">
      <c r="A3519" s="112">
        <v>5050704</v>
      </c>
      <c r="B3519" s="110" t="s">
        <v>454</v>
      </c>
    </row>
    <row r="3520" spans="1:2">
      <c r="A3520" s="112">
        <v>5050705</v>
      </c>
      <c r="B3520" s="110" t="s">
        <v>729</v>
      </c>
    </row>
    <row r="3521" spans="1:2" ht="25.5">
      <c r="A3521" s="112">
        <v>5050800</v>
      </c>
      <c r="B3521" s="110" t="s">
        <v>1340</v>
      </c>
    </row>
    <row r="3522" spans="1:2" ht="25.5">
      <c r="A3522" s="112">
        <v>5050801</v>
      </c>
      <c r="B3522" s="110" t="s">
        <v>172</v>
      </c>
    </row>
    <row r="3523" spans="1:2">
      <c r="A3523" s="112">
        <v>5050802</v>
      </c>
      <c r="B3523" s="110" t="s">
        <v>425</v>
      </c>
    </row>
    <row r="3524" spans="1:2" ht="25.5">
      <c r="A3524" s="112">
        <v>5050900</v>
      </c>
      <c r="B3524" s="110" t="s">
        <v>1494</v>
      </c>
    </row>
    <row r="3525" spans="1:2" ht="25.5">
      <c r="A3525" s="112">
        <v>5050901</v>
      </c>
      <c r="B3525" s="110" t="s">
        <v>573</v>
      </c>
    </row>
    <row r="3526" spans="1:2">
      <c r="A3526" s="112">
        <v>5050902</v>
      </c>
      <c r="B3526" s="110" t="s">
        <v>1495</v>
      </c>
    </row>
    <row r="3527" spans="1:2" ht="25.5">
      <c r="A3527" s="112">
        <v>5051000</v>
      </c>
      <c r="B3527" s="110" t="s">
        <v>895</v>
      </c>
    </row>
    <row r="3528" spans="1:2">
      <c r="A3528" s="112">
        <v>5051001</v>
      </c>
      <c r="B3528" s="110" t="s">
        <v>391</v>
      </c>
    </row>
    <row r="3529" spans="1:2" ht="38.25">
      <c r="A3529" s="112">
        <v>5051100</v>
      </c>
      <c r="B3529" s="110" t="s">
        <v>1496</v>
      </c>
    </row>
    <row r="3530" spans="1:2" ht="25.5">
      <c r="A3530" s="112">
        <v>5051101</v>
      </c>
      <c r="B3530" s="110" t="s">
        <v>1783</v>
      </c>
    </row>
    <row r="3531" spans="1:2" ht="25.5">
      <c r="A3531" s="112">
        <v>5051200</v>
      </c>
      <c r="B3531" s="110" t="s">
        <v>1784</v>
      </c>
    </row>
    <row r="3532" spans="1:2">
      <c r="A3532" s="112">
        <v>5051201</v>
      </c>
      <c r="B3532" s="110" t="s">
        <v>414</v>
      </c>
    </row>
    <row r="3533" spans="1:2">
      <c r="A3533" s="112">
        <v>5051300</v>
      </c>
      <c r="B3533" s="110" t="s">
        <v>91</v>
      </c>
    </row>
    <row r="3534" spans="1:2">
      <c r="A3534" s="112">
        <v>5051301</v>
      </c>
      <c r="B3534" s="110" t="s">
        <v>1139</v>
      </c>
    </row>
    <row r="3535" spans="1:2">
      <c r="A3535" s="112">
        <v>5051302</v>
      </c>
      <c r="B3535" s="110" t="s">
        <v>1212</v>
      </c>
    </row>
    <row r="3536" spans="1:2">
      <c r="A3536" s="112">
        <v>5051303</v>
      </c>
      <c r="B3536" s="110" t="s">
        <v>1066</v>
      </c>
    </row>
    <row r="3537" spans="1:2">
      <c r="A3537" s="112">
        <v>5051304</v>
      </c>
      <c r="B3537" s="110" t="s">
        <v>776</v>
      </c>
    </row>
    <row r="3538" spans="1:2" ht="25.5">
      <c r="A3538" s="112">
        <v>5051400</v>
      </c>
      <c r="B3538" s="110" t="s">
        <v>1330</v>
      </c>
    </row>
    <row r="3539" spans="1:2">
      <c r="A3539" s="112">
        <v>5051401</v>
      </c>
      <c r="B3539" s="110" t="s">
        <v>828</v>
      </c>
    </row>
    <row r="3540" spans="1:2" ht="25.5">
      <c r="A3540" s="112">
        <v>5051500</v>
      </c>
      <c r="B3540" s="110" t="s">
        <v>868</v>
      </c>
    </row>
    <row r="3541" spans="1:2">
      <c r="A3541" s="112">
        <v>5051501</v>
      </c>
      <c r="B3541" s="110" t="s">
        <v>325</v>
      </c>
    </row>
    <row r="3542" spans="1:2" ht="63.75">
      <c r="A3542" s="112">
        <v>5051600</v>
      </c>
      <c r="B3542" s="111" t="s">
        <v>1785</v>
      </c>
    </row>
    <row r="3543" spans="1:2">
      <c r="A3543" s="112">
        <v>5051601</v>
      </c>
      <c r="B3543" s="110" t="s">
        <v>1259</v>
      </c>
    </row>
    <row r="3544" spans="1:2" ht="25.5">
      <c r="A3544" s="112">
        <v>5051700</v>
      </c>
      <c r="B3544" s="110" t="s">
        <v>1786</v>
      </c>
    </row>
    <row r="3545" spans="1:2">
      <c r="A3545" s="112">
        <v>5051701</v>
      </c>
      <c r="B3545" s="110" t="s">
        <v>1203</v>
      </c>
    </row>
    <row r="3546" spans="1:2" ht="25.5">
      <c r="A3546" s="112">
        <v>5051702</v>
      </c>
      <c r="B3546" s="110" t="s">
        <v>163</v>
      </c>
    </row>
    <row r="3547" spans="1:2" ht="25.5">
      <c r="A3547" s="112">
        <v>5051703</v>
      </c>
      <c r="B3547" s="110" t="s">
        <v>816</v>
      </c>
    </row>
    <row r="3548" spans="1:2">
      <c r="A3548" s="112">
        <v>5051704</v>
      </c>
      <c r="B3548" s="110" t="s">
        <v>946</v>
      </c>
    </row>
    <row r="3549" spans="1:2" ht="25.5">
      <c r="A3549" s="112">
        <v>5051800</v>
      </c>
      <c r="B3549" s="110" t="s">
        <v>572</v>
      </c>
    </row>
    <row r="3550" spans="1:2" ht="25.5">
      <c r="A3550" s="112">
        <v>5051900</v>
      </c>
      <c r="B3550" s="110" t="s">
        <v>1787</v>
      </c>
    </row>
    <row r="3551" spans="1:2" ht="25.5">
      <c r="A3551" s="112">
        <v>5052000</v>
      </c>
      <c r="B3551" s="110" t="s">
        <v>1497</v>
      </c>
    </row>
    <row r="3552" spans="1:2">
      <c r="A3552" s="112">
        <v>5052001</v>
      </c>
      <c r="B3552" s="110" t="s">
        <v>1498</v>
      </c>
    </row>
    <row r="3553" spans="1:2" ht="25.5">
      <c r="A3553" s="112">
        <v>5052100</v>
      </c>
      <c r="B3553" s="110" t="s">
        <v>2010</v>
      </c>
    </row>
    <row r="3554" spans="1:2" ht="25.5">
      <c r="A3554" s="112">
        <v>5052102</v>
      </c>
      <c r="B3554" s="110" t="s">
        <v>1456</v>
      </c>
    </row>
    <row r="3555" spans="1:2">
      <c r="A3555" s="112">
        <v>5052200</v>
      </c>
      <c r="B3555" s="110" t="s">
        <v>948</v>
      </c>
    </row>
    <row r="3556" spans="1:2" ht="25.5">
      <c r="A3556" s="112">
        <v>5052201</v>
      </c>
      <c r="B3556" s="110" t="s">
        <v>1499</v>
      </c>
    </row>
    <row r="3557" spans="1:2" ht="25.5">
      <c r="A3557" s="112">
        <v>5052202</v>
      </c>
      <c r="B3557" s="110" t="s">
        <v>1285</v>
      </c>
    </row>
    <row r="3558" spans="1:2" ht="38.25">
      <c r="A3558" s="112">
        <v>5052203</v>
      </c>
      <c r="B3558" s="110" t="s">
        <v>1286</v>
      </c>
    </row>
    <row r="3559" spans="1:2" ht="25.5">
      <c r="A3559" s="112">
        <v>5052204</v>
      </c>
      <c r="B3559" s="110" t="s">
        <v>1287</v>
      </c>
    </row>
    <row r="3560" spans="1:2">
      <c r="A3560" s="112">
        <v>5052205</v>
      </c>
      <c r="B3560" s="110" t="s">
        <v>1288</v>
      </c>
    </row>
    <row r="3561" spans="1:2" ht="25.5">
      <c r="A3561" s="112">
        <v>5052300</v>
      </c>
      <c r="B3561" s="110" t="s">
        <v>1084</v>
      </c>
    </row>
    <row r="3562" spans="1:2" ht="25.5">
      <c r="A3562" s="112">
        <v>5052301</v>
      </c>
      <c r="B3562" s="110" t="s">
        <v>577</v>
      </c>
    </row>
    <row r="3563" spans="1:2">
      <c r="A3563" s="112">
        <v>5052302</v>
      </c>
      <c r="B3563" s="110" t="s">
        <v>161</v>
      </c>
    </row>
    <row r="3564" spans="1:2">
      <c r="A3564" s="112">
        <v>5052400</v>
      </c>
      <c r="B3564" s="110" t="s">
        <v>162</v>
      </c>
    </row>
    <row r="3565" spans="1:2" ht="25.5">
      <c r="A3565" s="112">
        <v>5052500</v>
      </c>
      <c r="B3565" s="110" t="s">
        <v>498</v>
      </c>
    </row>
    <row r="3566" spans="1:2">
      <c r="A3566" s="112">
        <v>5052501</v>
      </c>
      <c r="B3566" s="110" t="s">
        <v>499</v>
      </c>
    </row>
    <row r="3567" spans="1:2" ht="38.25">
      <c r="A3567" s="112">
        <v>5052600</v>
      </c>
      <c r="B3567" s="110" t="s">
        <v>743</v>
      </c>
    </row>
    <row r="3568" spans="1:2">
      <c r="A3568" s="112">
        <v>5052601</v>
      </c>
      <c r="B3568" s="110" t="s">
        <v>744</v>
      </c>
    </row>
    <row r="3569" spans="1:2" ht="38.25">
      <c r="A3569" s="112">
        <v>5052700</v>
      </c>
      <c r="B3569" s="110" t="s">
        <v>745</v>
      </c>
    </row>
    <row r="3570" spans="1:2" ht="25.5">
      <c r="A3570" s="112">
        <v>5052701</v>
      </c>
      <c r="B3570" s="110" t="s">
        <v>746</v>
      </c>
    </row>
    <row r="3571" spans="1:2">
      <c r="A3571" s="112">
        <v>5052800</v>
      </c>
      <c r="B3571" s="110" t="s">
        <v>888</v>
      </c>
    </row>
    <row r="3572" spans="1:2">
      <c r="A3572" s="112">
        <v>5052900</v>
      </c>
      <c r="B3572" s="110" t="s">
        <v>1101</v>
      </c>
    </row>
    <row r="3573" spans="1:2" ht="25.5">
      <c r="A3573" s="112">
        <v>5052901</v>
      </c>
      <c r="B3573" s="110" t="s">
        <v>747</v>
      </c>
    </row>
    <row r="3574" spans="1:2">
      <c r="A3574" s="112">
        <v>5053000</v>
      </c>
      <c r="B3574" s="110" t="s">
        <v>644</v>
      </c>
    </row>
    <row r="3575" spans="1:2">
      <c r="A3575" s="112">
        <v>5053100</v>
      </c>
      <c r="B3575" s="110" t="s">
        <v>644</v>
      </c>
    </row>
    <row r="3576" spans="1:2">
      <c r="A3576" s="112">
        <v>5053110</v>
      </c>
      <c r="B3576" s="110" t="s">
        <v>644</v>
      </c>
    </row>
    <row r="3577" spans="1:2">
      <c r="A3577" s="112">
        <v>5053120</v>
      </c>
      <c r="B3577" s="110" t="s">
        <v>644</v>
      </c>
    </row>
    <row r="3578" spans="1:2" ht="25.5">
      <c r="A3578" s="112">
        <v>5053200</v>
      </c>
      <c r="B3578" s="110" t="s">
        <v>748</v>
      </c>
    </row>
    <row r="3579" spans="1:2" ht="25.5">
      <c r="A3579" s="112">
        <v>5053201</v>
      </c>
      <c r="B3579" s="110" t="s">
        <v>749</v>
      </c>
    </row>
    <row r="3580" spans="1:2" ht="25.5">
      <c r="A3580" s="112">
        <v>5053202</v>
      </c>
      <c r="B3580" s="110" t="s">
        <v>750</v>
      </c>
    </row>
    <row r="3581" spans="1:2" ht="25.5">
      <c r="A3581" s="112">
        <v>5053204</v>
      </c>
      <c r="B3581" s="110" t="s">
        <v>751</v>
      </c>
    </row>
    <row r="3582" spans="1:2" ht="25.5">
      <c r="A3582" s="112">
        <v>5053205</v>
      </c>
      <c r="B3582" s="110" t="s">
        <v>752</v>
      </c>
    </row>
    <row r="3583" spans="1:2">
      <c r="A3583" s="112">
        <v>5053300</v>
      </c>
      <c r="B3583" s="110" t="s">
        <v>1249</v>
      </c>
    </row>
    <row r="3584" spans="1:2">
      <c r="A3584" s="112">
        <v>5053301</v>
      </c>
      <c r="B3584" s="110" t="s">
        <v>956</v>
      </c>
    </row>
    <row r="3585" spans="1:2">
      <c r="A3585" s="112">
        <v>5053302</v>
      </c>
      <c r="B3585" s="110" t="s">
        <v>392</v>
      </c>
    </row>
    <row r="3586" spans="1:2" ht="63.75">
      <c r="A3586" s="112">
        <v>5053400</v>
      </c>
      <c r="B3586" s="111" t="s">
        <v>753</v>
      </c>
    </row>
    <row r="3587" spans="1:2" ht="38.25">
      <c r="A3587" s="112">
        <v>5053401</v>
      </c>
      <c r="B3587" s="111" t="s">
        <v>754</v>
      </c>
    </row>
    <row r="3588" spans="1:2" ht="25.5">
      <c r="A3588" s="112">
        <v>5053402</v>
      </c>
      <c r="B3588" s="110" t="s">
        <v>755</v>
      </c>
    </row>
    <row r="3589" spans="1:2" ht="25.5">
      <c r="A3589" s="112">
        <v>5053500</v>
      </c>
      <c r="B3589" s="110" t="s">
        <v>756</v>
      </c>
    </row>
    <row r="3590" spans="1:2" ht="25.5">
      <c r="A3590" s="112">
        <v>5053600</v>
      </c>
      <c r="B3590" s="110" t="s">
        <v>1456</v>
      </c>
    </row>
    <row r="3591" spans="1:2" ht="25.5">
      <c r="A3591" s="112">
        <v>5053601</v>
      </c>
      <c r="B3591" s="110" t="s">
        <v>1456</v>
      </c>
    </row>
    <row r="3592" spans="1:2" ht="25.5">
      <c r="A3592" s="112">
        <v>5053602</v>
      </c>
      <c r="B3592" s="110" t="s">
        <v>757</v>
      </c>
    </row>
    <row r="3593" spans="1:2" ht="38.25">
      <c r="A3593" s="112">
        <v>5053700</v>
      </c>
      <c r="B3593" s="111" t="s">
        <v>821</v>
      </c>
    </row>
    <row r="3594" spans="1:2">
      <c r="A3594" s="112">
        <v>5053800</v>
      </c>
      <c r="B3594" s="110" t="s">
        <v>758</v>
      </c>
    </row>
    <row r="3595" spans="1:2" ht="25.5">
      <c r="A3595" s="112">
        <v>5053801</v>
      </c>
      <c r="B3595" s="110" t="s">
        <v>759</v>
      </c>
    </row>
    <row r="3596" spans="1:2" ht="25.5">
      <c r="A3596" s="112">
        <v>5053900</v>
      </c>
      <c r="B3596" s="110" t="s">
        <v>508</v>
      </c>
    </row>
    <row r="3597" spans="1:2" ht="25.5">
      <c r="A3597" s="112">
        <v>5053901</v>
      </c>
      <c r="B3597" s="110" t="s">
        <v>878</v>
      </c>
    </row>
    <row r="3598" spans="1:2">
      <c r="A3598" s="112">
        <v>5053902</v>
      </c>
      <c r="B3598" s="110" t="s">
        <v>219</v>
      </c>
    </row>
    <row r="3599" spans="1:2">
      <c r="A3599" s="112">
        <v>5053903</v>
      </c>
      <c r="B3599" s="110" t="s">
        <v>220</v>
      </c>
    </row>
    <row r="3600" spans="1:2" ht="25.5">
      <c r="A3600" s="112">
        <v>5053904</v>
      </c>
      <c r="B3600" s="110" t="s">
        <v>515</v>
      </c>
    </row>
    <row r="3601" spans="1:2">
      <c r="A3601" s="112">
        <v>5053905</v>
      </c>
      <c r="B3601" s="110" t="s">
        <v>516</v>
      </c>
    </row>
    <row r="3602" spans="1:2">
      <c r="A3602" s="112">
        <v>5053906</v>
      </c>
      <c r="B3602" s="110" t="s">
        <v>861</v>
      </c>
    </row>
    <row r="3603" spans="1:2">
      <c r="A3603" s="112">
        <v>5053907</v>
      </c>
      <c r="B3603" s="110" t="s">
        <v>862</v>
      </c>
    </row>
    <row r="3604" spans="1:2" ht="25.5">
      <c r="A3604" s="112">
        <v>5054000</v>
      </c>
      <c r="B3604" s="110" t="s">
        <v>1598</v>
      </c>
    </row>
    <row r="3605" spans="1:2" ht="63.75">
      <c r="A3605" s="112">
        <v>5054100</v>
      </c>
      <c r="B3605" s="111" t="s">
        <v>547</v>
      </c>
    </row>
    <row r="3606" spans="1:2" ht="25.5">
      <c r="A3606" s="112">
        <v>5054200</v>
      </c>
      <c r="B3606" s="110" t="s">
        <v>548</v>
      </c>
    </row>
    <row r="3607" spans="1:2">
      <c r="A3607" s="112">
        <v>5054201</v>
      </c>
      <c r="B3607" s="110" t="s">
        <v>760</v>
      </c>
    </row>
    <row r="3608" spans="1:2" ht="25.5">
      <c r="A3608" s="112">
        <v>5054202</v>
      </c>
      <c r="B3608" s="110" t="s">
        <v>1556</v>
      </c>
    </row>
    <row r="3609" spans="1:2">
      <c r="A3609" s="112">
        <v>5054300</v>
      </c>
      <c r="B3609" s="110" t="s">
        <v>1520</v>
      </c>
    </row>
    <row r="3610" spans="1:2">
      <c r="A3610" s="112">
        <v>5054301</v>
      </c>
      <c r="B3610" s="110" t="s">
        <v>1055</v>
      </c>
    </row>
    <row r="3611" spans="1:2">
      <c r="A3611" s="112">
        <v>5054302</v>
      </c>
      <c r="B3611" s="110" t="s">
        <v>1458</v>
      </c>
    </row>
    <row r="3612" spans="1:2">
      <c r="A3612" s="112">
        <v>5054400</v>
      </c>
      <c r="B3612" s="110" t="s">
        <v>1459</v>
      </c>
    </row>
    <row r="3613" spans="1:2" ht="25.5">
      <c r="A3613" s="112">
        <v>5054401</v>
      </c>
      <c r="B3613" s="110" t="s">
        <v>923</v>
      </c>
    </row>
    <row r="3614" spans="1:2" ht="25.5">
      <c r="A3614" s="112">
        <v>5054500</v>
      </c>
      <c r="B3614" s="110" t="s">
        <v>201</v>
      </c>
    </row>
    <row r="3615" spans="1:2">
      <c r="A3615" s="112">
        <v>5054600</v>
      </c>
      <c r="B3615" s="110" t="s">
        <v>1102</v>
      </c>
    </row>
    <row r="3616" spans="1:2">
      <c r="A3616" s="112">
        <v>5054700</v>
      </c>
      <c r="B3616" s="110" t="s">
        <v>644</v>
      </c>
    </row>
    <row r="3617" spans="1:2">
      <c r="A3617" s="112">
        <v>5054800</v>
      </c>
      <c r="B3617" s="110" t="s">
        <v>1747</v>
      </c>
    </row>
    <row r="3618" spans="1:2">
      <c r="A3618" s="112">
        <v>5054900</v>
      </c>
      <c r="B3618" s="110" t="s">
        <v>124</v>
      </c>
    </row>
    <row r="3619" spans="1:2">
      <c r="A3619" s="112">
        <v>5054901</v>
      </c>
      <c r="B3619" s="110" t="s">
        <v>166</v>
      </c>
    </row>
    <row r="3620" spans="1:2" ht="25.5">
      <c r="A3620" s="112">
        <v>5055000</v>
      </c>
      <c r="B3620" s="110" t="s">
        <v>993</v>
      </c>
    </row>
    <row r="3621" spans="1:2">
      <c r="A3621" s="112">
        <v>5055100</v>
      </c>
      <c r="B3621" s="110" t="s">
        <v>994</v>
      </c>
    </row>
    <row r="3622" spans="1:2">
      <c r="A3622" s="112">
        <v>5055101</v>
      </c>
      <c r="B3622" s="110" t="s">
        <v>290</v>
      </c>
    </row>
    <row r="3623" spans="1:2" ht="25.5">
      <c r="A3623" s="112">
        <v>5055200</v>
      </c>
      <c r="B3623" s="110" t="s">
        <v>995</v>
      </c>
    </row>
    <row r="3624" spans="1:2">
      <c r="A3624" s="112">
        <v>5055201</v>
      </c>
      <c r="B3624" s="110" t="s">
        <v>996</v>
      </c>
    </row>
    <row r="3625" spans="1:2" ht="25.5">
      <c r="A3625" s="112">
        <v>5055300</v>
      </c>
      <c r="B3625" s="110" t="s">
        <v>997</v>
      </c>
    </row>
    <row r="3626" spans="1:2" ht="25.5">
      <c r="A3626" s="112">
        <v>5055400</v>
      </c>
      <c r="B3626" s="110" t="s">
        <v>998</v>
      </c>
    </row>
    <row r="3627" spans="1:2" ht="38.25">
      <c r="A3627" s="112">
        <v>5055402</v>
      </c>
      <c r="B3627" s="110" t="s">
        <v>999</v>
      </c>
    </row>
    <row r="3628" spans="1:2">
      <c r="A3628" s="112">
        <v>5055500</v>
      </c>
      <c r="B3628" s="110" t="s">
        <v>84</v>
      </c>
    </row>
    <row r="3629" spans="1:2">
      <c r="A3629" s="112">
        <v>5055510</v>
      </c>
      <c r="B3629" s="110" t="s">
        <v>1000</v>
      </c>
    </row>
    <row r="3630" spans="1:2">
      <c r="A3630" s="112">
        <v>5055520</v>
      </c>
      <c r="B3630" s="110" t="s">
        <v>1001</v>
      </c>
    </row>
    <row r="3631" spans="1:2">
      <c r="A3631" s="112">
        <v>5055521</v>
      </c>
      <c r="B3631" s="110" t="s">
        <v>85</v>
      </c>
    </row>
    <row r="3632" spans="1:2">
      <c r="A3632" s="112">
        <v>5055522</v>
      </c>
      <c r="B3632" s="110" t="s">
        <v>1086</v>
      </c>
    </row>
    <row r="3633" spans="1:2" ht="25.5">
      <c r="A3633" s="112">
        <v>5055530</v>
      </c>
      <c r="B3633" s="110" t="s">
        <v>1002</v>
      </c>
    </row>
    <row r="3634" spans="1:2" ht="25.5">
      <c r="A3634" s="112">
        <v>5055531</v>
      </c>
      <c r="B3634" s="110" t="s">
        <v>1002</v>
      </c>
    </row>
    <row r="3635" spans="1:2">
      <c r="A3635" s="112">
        <v>5055900</v>
      </c>
      <c r="B3635" s="110" t="s">
        <v>1003</v>
      </c>
    </row>
    <row r="3636" spans="1:2">
      <c r="A3636" s="112">
        <v>5055901</v>
      </c>
      <c r="B3636" s="110" t="s">
        <v>1004</v>
      </c>
    </row>
    <row r="3637" spans="1:2">
      <c r="A3637" s="112">
        <v>5055902</v>
      </c>
      <c r="B3637" s="110" t="s">
        <v>1005</v>
      </c>
    </row>
    <row r="3638" spans="1:2">
      <c r="A3638" s="112">
        <v>5055903</v>
      </c>
      <c r="B3638" s="110" t="s">
        <v>1006</v>
      </c>
    </row>
    <row r="3639" spans="1:2">
      <c r="A3639" s="112">
        <v>5055904</v>
      </c>
      <c r="B3639" s="110" t="s">
        <v>1007</v>
      </c>
    </row>
    <row r="3640" spans="1:2">
      <c r="A3640" s="112">
        <v>5056400</v>
      </c>
      <c r="B3640" s="110" t="s">
        <v>1038</v>
      </c>
    </row>
    <row r="3641" spans="1:2">
      <c r="A3641" s="112">
        <v>5057600</v>
      </c>
      <c r="B3641" s="110" t="s">
        <v>1151</v>
      </c>
    </row>
    <row r="3642" spans="1:2">
      <c r="A3642" s="112">
        <v>5058000</v>
      </c>
      <c r="B3642" s="110" t="s">
        <v>1008</v>
      </c>
    </row>
    <row r="3643" spans="1:2">
      <c r="A3643" s="112">
        <v>5058001</v>
      </c>
      <c r="B3643" s="110" t="s">
        <v>1009</v>
      </c>
    </row>
    <row r="3644" spans="1:2" ht="38.25">
      <c r="A3644" s="112">
        <v>5058100</v>
      </c>
      <c r="B3644" s="111" t="s">
        <v>1576</v>
      </c>
    </row>
    <row r="3645" spans="1:2" ht="25.5">
      <c r="A3645" s="112">
        <v>5058101</v>
      </c>
      <c r="B3645" s="110" t="s">
        <v>1577</v>
      </c>
    </row>
    <row r="3646" spans="1:2">
      <c r="A3646" s="112">
        <v>5058500</v>
      </c>
      <c r="B3646" s="110" t="s">
        <v>1211</v>
      </c>
    </row>
    <row r="3647" spans="1:2">
      <c r="A3647" s="112">
        <v>5058600</v>
      </c>
      <c r="B3647" s="110" t="s">
        <v>1211</v>
      </c>
    </row>
    <row r="3648" spans="1:2">
      <c r="A3648" s="112">
        <v>5058610</v>
      </c>
      <c r="B3648" s="110" t="s">
        <v>1153</v>
      </c>
    </row>
    <row r="3649" spans="1:2">
      <c r="A3649" s="112">
        <v>5060000</v>
      </c>
      <c r="B3649" s="110" t="s">
        <v>1525</v>
      </c>
    </row>
    <row r="3650" spans="1:2">
      <c r="A3650" s="112">
        <v>5060100</v>
      </c>
      <c r="B3650" s="110" t="s">
        <v>1578</v>
      </c>
    </row>
    <row r="3651" spans="1:2">
      <c r="A3651" s="112">
        <v>5060200</v>
      </c>
      <c r="B3651" s="110" t="s">
        <v>1617</v>
      </c>
    </row>
    <row r="3652" spans="1:2" ht="25.5">
      <c r="A3652" s="112">
        <v>5060300</v>
      </c>
      <c r="B3652" s="110" t="s">
        <v>1579</v>
      </c>
    </row>
    <row r="3653" spans="1:2">
      <c r="A3653" s="112">
        <v>5070000</v>
      </c>
      <c r="B3653" s="110" t="s">
        <v>1580</v>
      </c>
    </row>
    <row r="3654" spans="1:2">
      <c r="A3654" s="112">
        <v>5070100</v>
      </c>
      <c r="B3654" s="110" t="s">
        <v>1581</v>
      </c>
    </row>
    <row r="3655" spans="1:2">
      <c r="A3655" s="112">
        <v>5079900</v>
      </c>
      <c r="B3655" s="110" t="s">
        <v>644</v>
      </c>
    </row>
    <row r="3656" spans="1:2">
      <c r="A3656" s="112">
        <v>5080000</v>
      </c>
      <c r="B3656" s="110" t="s">
        <v>901</v>
      </c>
    </row>
    <row r="3657" spans="1:2">
      <c r="A3657" s="112">
        <v>5089900</v>
      </c>
      <c r="B3657" s="110" t="s">
        <v>52</v>
      </c>
    </row>
    <row r="3658" spans="1:2">
      <c r="A3658" s="112">
        <v>5090000</v>
      </c>
      <c r="B3658" s="110" t="s">
        <v>1582</v>
      </c>
    </row>
    <row r="3659" spans="1:2" ht="25.5">
      <c r="A3659" s="112">
        <v>5090100</v>
      </c>
      <c r="B3659" s="110" t="s">
        <v>1583</v>
      </c>
    </row>
    <row r="3660" spans="1:2">
      <c r="A3660" s="112">
        <v>5090101</v>
      </c>
      <c r="B3660" s="110" t="s">
        <v>1584</v>
      </c>
    </row>
    <row r="3661" spans="1:2" ht="25.5">
      <c r="A3661" s="112">
        <v>5090200</v>
      </c>
      <c r="B3661" s="110" t="s">
        <v>1853</v>
      </c>
    </row>
    <row r="3662" spans="1:2">
      <c r="A3662" s="112">
        <v>5090201</v>
      </c>
      <c r="B3662" s="110" t="s">
        <v>1854</v>
      </c>
    </row>
    <row r="3663" spans="1:2" ht="25.5">
      <c r="A3663" s="112">
        <v>5090300</v>
      </c>
      <c r="B3663" s="110" t="s">
        <v>1363</v>
      </c>
    </row>
    <row r="3664" spans="1:2">
      <c r="A3664" s="112">
        <v>5090301</v>
      </c>
      <c r="B3664" s="110" t="s">
        <v>1364</v>
      </c>
    </row>
    <row r="3665" spans="1:2" ht="25.5">
      <c r="A3665" s="112">
        <v>5090400</v>
      </c>
      <c r="B3665" s="110" t="s">
        <v>1365</v>
      </c>
    </row>
    <row r="3666" spans="1:2" ht="25.5">
      <c r="A3666" s="112">
        <v>5090401</v>
      </c>
      <c r="B3666" s="110" t="s">
        <v>1366</v>
      </c>
    </row>
    <row r="3667" spans="1:2" ht="51">
      <c r="A3667" s="112">
        <v>5090500</v>
      </c>
      <c r="B3667" s="111" t="s">
        <v>1367</v>
      </c>
    </row>
    <row r="3668" spans="1:2" ht="38.25">
      <c r="A3668" s="112">
        <v>5090501</v>
      </c>
      <c r="B3668" s="111" t="s">
        <v>1368</v>
      </c>
    </row>
    <row r="3669" spans="1:2" ht="25.5">
      <c r="A3669" s="112">
        <v>5090600</v>
      </c>
      <c r="B3669" s="110" t="s">
        <v>1369</v>
      </c>
    </row>
    <row r="3670" spans="1:2">
      <c r="A3670" s="112">
        <v>5090601</v>
      </c>
      <c r="B3670" s="110" t="s">
        <v>835</v>
      </c>
    </row>
    <row r="3671" spans="1:2" ht="25.5">
      <c r="A3671" s="112">
        <v>5090700</v>
      </c>
      <c r="B3671" s="110" t="s">
        <v>836</v>
      </c>
    </row>
    <row r="3672" spans="1:2">
      <c r="A3672" s="112">
        <v>5090701</v>
      </c>
      <c r="B3672" s="110" t="s">
        <v>837</v>
      </c>
    </row>
    <row r="3673" spans="1:2" ht="25.5">
      <c r="A3673" s="112">
        <v>5090800</v>
      </c>
      <c r="B3673" s="110" t="s">
        <v>838</v>
      </c>
    </row>
    <row r="3674" spans="1:2">
      <c r="A3674" s="112">
        <v>5090801</v>
      </c>
      <c r="B3674" s="110" t="s">
        <v>839</v>
      </c>
    </row>
    <row r="3675" spans="1:2" ht="25.5">
      <c r="A3675" s="112">
        <v>5090900</v>
      </c>
      <c r="B3675" s="110" t="s">
        <v>1370</v>
      </c>
    </row>
    <row r="3676" spans="1:2">
      <c r="A3676" s="112">
        <v>5090901</v>
      </c>
      <c r="B3676" s="110" t="s">
        <v>1371</v>
      </c>
    </row>
    <row r="3677" spans="1:2" ht="25.5">
      <c r="A3677" s="112">
        <v>5091000</v>
      </c>
      <c r="B3677" s="110" t="s">
        <v>1372</v>
      </c>
    </row>
    <row r="3678" spans="1:2">
      <c r="A3678" s="112">
        <v>5091001</v>
      </c>
      <c r="B3678" s="110" t="s">
        <v>1373</v>
      </c>
    </row>
    <row r="3679" spans="1:2" ht="25.5">
      <c r="A3679" s="112">
        <v>5091100</v>
      </c>
      <c r="B3679" s="110" t="s">
        <v>1374</v>
      </c>
    </row>
    <row r="3680" spans="1:2">
      <c r="A3680" s="112">
        <v>5091101</v>
      </c>
      <c r="B3680" s="110" t="s">
        <v>1375</v>
      </c>
    </row>
    <row r="3681" spans="1:2" ht="25.5">
      <c r="A3681" s="112">
        <v>5091200</v>
      </c>
      <c r="B3681" s="110" t="s">
        <v>1376</v>
      </c>
    </row>
    <row r="3682" spans="1:2">
      <c r="A3682" s="112">
        <v>5091201</v>
      </c>
      <c r="B3682" s="110" t="s">
        <v>1377</v>
      </c>
    </row>
    <row r="3683" spans="1:2" ht="25.5">
      <c r="A3683" s="112">
        <v>5091300</v>
      </c>
      <c r="B3683" s="110" t="s">
        <v>1378</v>
      </c>
    </row>
    <row r="3684" spans="1:2">
      <c r="A3684" s="112">
        <v>5091301</v>
      </c>
      <c r="B3684" s="110" t="s">
        <v>1379</v>
      </c>
    </row>
    <row r="3685" spans="1:2">
      <c r="A3685" s="112">
        <v>5100000</v>
      </c>
      <c r="B3685" s="110" t="s">
        <v>872</v>
      </c>
    </row>
    <row r="3686" spans="1:2">
      <c r="A3686" s="112">
        <v>5100100</v>
      </c>
      <c r="B3686" s="110" t="s">
        <v>727</v>
      </c>
    </row>
    <row r="3687" spans="1:2" ht="25.5">
      <c r="A3687" s="112">
        <v>5100200</v>
      </c>
      <c r="B3687" s="110" t="s">
        <v>551</v>
      </c>
    </row>
    <row r="3688" spans="1:2" ht="25.5">
      <c r="A3688" s="112">
        <v>5100300</v>
      </c>
      <c r="B3688" s="110" t="s">
        <v>333</v>
      </c>
    </row>
    <row r="3689" spans="1:2">
      <c r="A3689" s="112">
        <v>5110000</v>
      </c>
      <c r="B3689" s="110" t="s">
        <v>295</v>
      </c>
    </row>
    <row r="3690" spans="1:2" ht="25.5">
      <c r="A3690" s="112">
        <v>5110200</v>
      </c>
      <c r="B3690" s="110" t="s">
        <v>626</v>
      </c>
    </row>
    <row r="3691" spans="1:2">
      <c r="A3691" s="112">
        <v>5120000</v>
      </c>
      <c r="B3691" s="110" t="s">
        <v>1446</v>
      </c>
    </row>
    <row r="3692" spans="1:2">
      <c r="A3692" s="112">
        <v>5129400</v>
      </c>
      <c r="B3692" s="110" t="s">
        <v>623</v>
      </c>
    </row>
    <row r="3693" spans="1:2">
      <c r="A3693" s="112">
        <v>5129700</v>
      </c>
      <c r="B3693" s="110" t="s">
        <v>1103</v>
      </c>
    </row>
    <row r="3694" spans="1:2">
      <c r="A3694" s="112">
        <v>5130000</v>
      </c>
      <c r="B3694" s="110" t="s">
        <v>1844</v>
      </c>
    </row>
    <row r="3695" spans="1:2">
      <c r="A3695" s="112">
        <v>5139700</v>
      </c>
      <c r="B3695" s="110" t="s">
        <v>1103</v>
      </c>
    </row>
    <row r="3696" spans="1:2">
      <c r="A3696" s="112">
        <v>5140000</v>
      </c>
      <c r="B3696" s="110" t="s">
        <v>1845</v>
      </c>
    </row>
    <row r="3697" spans="1:2">
      <c r="A3697" s="112">
        <v>5140100</v>
      </c>
      <c r="B3697" s="110" t="s">
        <v>1249</v>
      </c>
    </row>
    <row r="3698" spans="1:2">
      <c r="A3698" s="112">
        <v>5140101</v>
      </c>
      <c r="B3698" s="110" t="s">
        <v>1380</v>
      </c>
    </row>
    <row r="3699" spans="1:2">
      <c r="A3699" s="112">
        <v>5140102</v>
      </c>
      <c r="B3699" s="110" t="s">
        <v>1381</v>
      </c>
    </row>
    <row r="3700" spans="1:2">
      <c r="A3700" s="112">
        <v>5140103</v>
      </c>
      <c r="B3700" s="110" t="s">
        <v>1380</v>
      </c>
    </row>
    <row r="3701" spans="1:2">
      <c r="A3701" s="112">
        <v>5140110</v>
      </c>
      <c r="B3701" s="110" t="s">
        <v>1043</v>
      </c>
    </row>
    <row r="3702" spans="1:2">
      <c r="A3702" s="112">
        <v>5140200</v>
      </c>
      <c r="B3702" s="110" t="s">
        <v>170</v>
      </c>
    </row>
    <row r="3703" spans="1:2">
      <c r="A3703" s="112">
        <v>5140300</v>
      </c>
      <c r="B3703" s="110" t="s">
        <v>1361</v>
      </c>
    </row>
    <row r="3704" spans="1:2">
      <c r="A3704" s="112">
        <v>5140400</v>
      </c>
      <c r="B3704" s="110" t="s">
        <v>1620</v>
      </c>
    </row>
    <row r="3705" spans="1:2">
      <c r="A3705" s="112">
        <v>5140500</v>
      </c>
      <c r="B3705" s="110" t="s">
        <v>1621</v>
      </c>
    </row>
    <row r="3706" spans="1:2" ht="25.5">
      <c r="A3706" s="112">
        <v>5140600</v>
      </c>
      <c r="B3706" s="110" t="s">
        <v>1382</v>
      </c>
    </row>
    <row r="3707" spans="1:2">
      <c r="A3707" s="112">
        <v>5140700</v>
      </c>
      <c r="B3707" s="110" t="s">
        <v>1622</v>
      </c>
    </row>
    <row r="3708" spans="1:2">
      <c r="A3708" s="112">
        <v>5140800</v>
      </c>
      <c r="B3708" s="110" t="s">
        <v>1383</v>
      </c>
    </row>
    <row r="3709" spans="1:2">
      <c r="A3709" s="112">
        <v>5140900</v>
      </c>
      <c r="B3709" s="110" t="s">
        <v>1384</v>
      </c>
    </row>
    <row r="3710" spans="1:2" ht="38.25">
      <c r="A3710" s="112">
        <v>5141000</v>
      </c>
      <c r="B3710" s="111" t="s">
        <v>1814</v>
      </c>
    </row>
    <row r="3711" spans="1:2" ht="25.5">
      <c r="A3711" s="112">
        <v>5141500</v>
      </c>
      <c r="B3711" s="111" t="s">
        <v>2040</v>
      </c>
    </row>
    <row r="3712" spans="1:2" ht="38.25">
      <c r="A3712" s="112">
        <v>5142000</v>
      </c>
      <c r="B3712" s="110" t="s">
        <v>717</v>
      </c>
    </row>
    <row r="3713" spans="1:2">
      <c r="A3713" s="112">
        <v>5142100</v>
      </c>
      <c r="B3713" s="110" t="s">
        <v>1591</v>
      </c>
    </row>
    <row r="3714" spans="1:2">
      <c r="A3714" s="112">
        <v>5142200</v>
      </c>
      <c r="B3714" s="110" t="s">
        <v>1815</v>
      </c>
    </row>
    <row r="3715" spans="1:2" ht="25.5">
      <c r="A3715" s="112">
        <v>5142201</v>
      </c>
      <c r="B3715" s="110" t="s">
        <v>1816</v>
      </c>
    </row>
    <row r="3716" spans="1:2">
      <c r="A3716" s="112">
        <v>5142202</v>
      </c>
      <c r="B3716" s="110" t="s">
        <v>1817</v>
      </c>
    </row>
    <row r="3717" spans="1:2">
      <c r="A3717" s="112">
        <v>5142300</v>
      </c>
      <c r="B3717" s="110" t="s">
        <v>1818</v>
      </c>
    </row>
    <row r="3718" spans="1:2" ht="38.25">
      <c r="A3718" s="112">
        <v>5142301</v>
      </c>
      <c r="B3718" s="110" t="s">
        <v>1627</v>
      </c>
    </row>
    <row r="3719" spans="1:2" ht="38.25">
      <c r="A3719" s="112">
        <v>5142400</v>
      </c>
      <c r="B3719" s="110" t="s">
        <v>1628</v>
      </c>
    </row>
    <row r="3720" spans="1:2" ht="25.5">
      <c r="A3720" s="112">
        <v>5142401</v>
      </c>
      <c r="B3720" s="110" t="s">
        <v>1629</v>
      </c>
    </row>
    <row r="3721" spans="1:2">
      <c r="A3721" s="112">
        <v>5142500</v>
      </c>
      <c r="B3721" s="110" t="s">
        <v>1630</v>
      </c>
    </row>
    <row r="3722" spans="1:2">
      <c r="A3722" s="112">
        <v>5142501</v>
      </c>
      <c r="B3722" s="110" t="s">
        <v>1631</v>
      </c>
    </row>
    <row r="3723" spans="1:2">
      <c r="A3723" s="112">
        <v>5142600</v>
      </c>
      <c r="B3723" s="110" t="s">
        <v>1632</v>
      </c>
    </row>
    <row r="3724" spans="1:2" ht="25.5">
      <c r="A3724" s="112">
        <v>5142601</v>
      </c>
      <c r="B3724" s="110" t="s">
        <v>1633</v>
      </c>
    </row>
    <row r="3725" spans="1:2">
      <c r="A3725" s="112">
        <v>5142800</v>
      </c>
      <c r="B3725" s="110" t="s">
        <v>1634</v>
      </c>
    </row>
    <row r="3726" spans="1:2" ht="25.5">
      <c r="A3726" s="112">
        <v>5142801</v>
      </c>
      <c r="B3726" s="110" t="s">
        <v>1635</v>
      </c>
    </row>
    <row r="3727" spans="1:2">
      <c r="A3727" s="112">
        <v>5142900</v>
      </c>
      <c r="B3727" s="110" t="s">
        <v>1636</v>
      </c>
    </row>
    <row r="3728" spans="1:2" ht="25.5">
      <c r="A3728" s="112">
        <v>5142901</v>
      </c>
      <c r="B3728" s="110" t="s">
        <v>1637</v>
      </c>
    </row>
    <row r="3729" spans="1:2">
      <c r="A3729" s="112">
        <v>5143100</v>
      </c>
      <c r="B3729" s="110" t="s">
        <v>1638</v>
      </c>
    </row>
    <row r="3730" spans="1:2" ht="38.25">
      <c r="A3730" s="112">
        <v>5143101</v>
      </c>
      <c r="B3730" s="111" t="s">
        <v>1639</v>
      </c>
    </row>
    <row r="3731" spans="1:2">
      <c r="A3731" s="112">
        <v>5143300</v>
      </c>
      <c r="B3731" s="110" t="s">
        <v>1640</v>
      </c>
    </row>
    <row r="3732" spans="1:2" ht="25.5">
      <c r="A3732" s="112">
        <v>5143301</v>
      </c>
      <c r="B3732" s="110" t="s">
        <v>1641</v>
      </c>
    </row>
    <row r="3733" spans="1:2">
      <c r="A3733" s="112">
        <v>5143400</v>
      </c>
      <c r="B3733" s="110" t="s">
        <v>1642</v>
      </c>
    </row>
    <row r="3734" spans="1:2">
      <c r="A3734" s="112">
        <v>5143401</v>
      </c>
      <c r="B3734" s="110" t="s">
        <v>1643</v>
      </c>
    </row>
    <row r="3735" spans="1:2" ht="25.5">
      <c r="A3735" s="112">
        <v>5143500</v>
      </c>
      <c r="B3735" s="110" t="s">
        <v>1644</v>
      </c>
    </row>
    <row r="3736" spans="1:2">
      <c r="A3736" s="112">
        <v>5143501</v>
      </c>
      <c r="B3736" s="110" t="s">
        <v>1645</v>
      </c>
    </row>
    <row r="3737" spans="1:2" ht="38.25">
      <c r="A3737" s="112">
        <v>5143600</v>
      </c>
      <c r="B3737" s="111" t="s">
        <v>1646</v>
      </c>
    </row>
    <row r="3738" spans="1:2">
      <c r="A3738" s="112">
        <v>5143601</v>
      </c>
      <c r="B3738" s="110" t="s">
        <v>1647</v>
      </c>
    </row>
    <row r="3739" spans="1:2" ht="38.25">
      <c r="A3739" s="112">
        <v>5143700</v>
      </c>
      <c r="B3739" s="111" t="s">
        <v>1648</v>
      </c>
    </row>
    <row r="3740" spans="1:2" ht="38.25">
      <c r="A3740" s="112">
        <v>5143701</v>
      </c>
      <c r="B3740" s="110" t="s">
        <v>1887</v>
      </c>
    </row>
    <row r="3741" spans="1:2" ht="25.5">
      <c r="A3741" s="112">
        <v>5143800</v>
      </c>
      <c r="B3741" s="110" t="s">
        <v>1888</v>
      </c>
    </row>
    <row r="3742" spans="1:2" ht="25.5">
      <c r="A3742" s="112">
        <v>5143801</v>
      </c>
      <c r="B3742" s="110" t="s">
        <v>1889</v>
      </c>
    </row>
    <row r="3743" spans="1:2" ht="102">
      <c r="A3743" s="112">
        <v>5143900</v>
      </c>
      <c r="B3743" s="111" t="s">
        <v>1423</v>
      </c>
    </row>
    <row r="3744" spans="1:2" ht="51">
      <c r="A3744" s="112">
        <v>5143901</v>
      </c>
      <c r="B3744" s="111" t="s">
        <v>1224</v>
      </c>
    </row>
    <row r="3745" spans="1:2">
      <c r="A3745" s="112">
        <v>5144000</v>
      </c>
      <c r="B3745" s="110" t="s">
        <v>1225</v>
      </c>
    </row>
    <row r="3746" spans="1:2" ht="38.25">
      <c r="A3746" s="112">
        <v>5144001</v>
      </c>
      <c r="B3746" s="111" t="s">
        <v>1303</v>
      </c>
    </row>
    <row r="3747" spans="1:2" ht="51">
      <c r="A3747" s="112">
        <v>5144100</v>
      </c>
      <c r="B3747" s="110" t="s">
        <v>2242</v>
      </c>
    </row>
    <row r="3748" spans="1:2" ht="25.5">
      <c r="A3748" s="112">
        <v>5144102</v>
      </c>
      <c r="B3748" s="110" t="s">
        <v>2243</v>
      </c>
    </row>
    <row r="3749" spans="1:2" ht="38.25">
      <c r="A3749" s="112">
        <v>5150000</v>
      </c>
      <c r="B3749" s="110" t="s">
        <v>645</v>
      </c>
    </row>
    <row r="3750" spans="1:2" ht="38.25">
      <c r="A3750" s="112">
        <v>5150100</v>
      </c>
      <c r="B3750" s="110" t="s">
        <v>645</v>
      </c>
    </row>
    <row r="3751" spans="1:2">
      <c r="A3751" s="112">
        <v>5160000</v>
      </c>
      <c r="B3751" s="110" t="s">
        <v>646</v>
      </c>
    </row>
    <row r="3752" spans="1:2">
      <c r="A3752" s="112">
        <v>5160100</v>
      </c>
      <c r="B3752" s="110" t="s">
        <v>646</v>
      </c>
    </row>
    <row r="3753" spans="1:2">
      <c r="A3753" s="112">
        <v>5160130</v>
      </c>
      <c r="B3753" s="110" t="s">
        <v>1191</v>
      </c>
    </row>
    <row r="3754" spans="1:2">
      <c r="A3754" s="112">
        <v>5170000</v>
      </c>
      <c r="B3754" s="110" t="s">
        <v>647</v>
      </c>
    </row>
    <row r="3755" spans="1:2">
      <c r="A3755" s="112">
        <v>5170100</v>
      </c>
      <c r="B3755" s="110" t="s">
        <v>181</v>
      </c>
    </row>
    <row r="3756" spans="1:2">
      <c r="A3756" s="112">
        <v>5170200</v>
      </c>
      <c r="B3756" s="110" t="s">
        <v>1468</v>
      </c>
    </row>
    <row r="3757" spans="1:2">
      <c r="A3757" s="112">
        <v>5170220</v>
      </c>
      <c r="B3757" s="110" t="s">
        <v>394</v>
      </c>
    </row>
    <row r="3758" spans="1:2">
      <c r="A3758" s="112">
        <v>5170400</v>
      </c>
      <c r="B3758" s="110" t="s">
        <v>1466</v>
      </c>
    </row>
    <row r="3759" spans="1:2">
      <c r="A3759" s="112">
        <v>5170500</v>
      </c>
      <c r="B3759" s="110" t="s">
        <v>1392</v>
      </c>
    </row>
    <row r="3760" spans="1:2" ht="25.5">
      <c r="A3760" s="112">
        <v>5170600</v>
      </c>
      <c r="B3760" s="110" t="s">
        <v>486</v>
      </c>
    </row>
    <row r="3761" spans="1:2">
      <c r="A3761" s="112">
        <v>5170700</v>
      </c>
      <c r="B3761" s="110" t="s">
        <v>1304</v>
      </c>
    </row>
    <row r="3762" spans="1:2" ht="25.5">
      <c r="A3762" s="112">
        <v>5171000</v>
      </c>
      <c r="B3762" s="110" t="s">
        <v>2011</v>
      </c>
    </row>
    <row r="3763" spans="1:2">
      <c r="A3763" s="112">
        <v>5180000</v>
      </c>
      <c r="B3763" s="110" t="s">
        <v>487</v>
      </c>
    </row>
    <row r="3764" spans="1:2">
      <c r="A3764" s="112">
        <v>5180100</v>
      </c>
      <c r="B3764" s="110" t="s">
        <v>1200</v>
      </c>
    </row>
    <row r="3765" spans="1:2">
      <c r="A3765" s="112">
        <v>5180101</v>
      </c>
      <c r="B3765" s="110" t="s">
        <v>1305</v>
      </c>
    </row>
    <row r="3766" spans="1:2">
      <c r="A3766" s="112">
        <v>5180200</v>
      </c>
      <c r="B3766" s="110" t="s">
        <v>354</v>
      </c>
    </row>
    <row r="3767" spans="1:2">
      <c r="A3767" s="112">
        <v>5190000</v>
      </c>
      <c r="B3767" s="110" t="s">
        <v>1306</v>
      </c>
    </row>
    <row r="3768" spans="1:2" ht="25.5">
      <c r="A3768" s="112">
        <v>5190100</v>
      </c>
      <c r="B3768" s="110" t="s">
        <v>1307</v>
      </c>
    </row>
    <row r="3769" spans="1:2">
      <c r="A3769" s="112">
        <v>5200000</v>
      </c>
      <c r="B3769" s="110" t="s">
        <v>972</v>
      </c>
    </row>
    <row r="3770" spans="1:2">
      <c r="A3770" s="112">
        <v>5200100</v>
      </c>
      <c r="B3770" s="110" t="s">
        <v>766</v>
      </c>
    </row>
    <row r="3771" spans="1:2">
      <c r="A3771" s="112">
        <v>5200200</v>
      </c>
      <c r="B3771" s="110" t="s">
        <v>864</v>
      </c>
    </row>
    <row r="3772" spans="1:2" ht="25.5">
      <c r="A3772" s="112">
        <v>5200300</v>
      </c>
      <c r="B3772" s="110" t="s">
        <v>495</v>
      </c>
    </row>
    <row r="3773" spans="1:2" ht="25.5">
      <c r="A3773" s="112">
        <v>5200302</v>
      </c>
      <c r="B3773" s="110" t="s">
        <v>1308</v>
      </c>
    </row>
    <row r="3774" spans="1:2">
      <c r="A3774" s="112">
        <v>5200400</v>
      </c>
      <c r="B3774" s="110" t="s">
        <v>324</v>
      </c>
    </row>
    <row r="3775" spans="1:2" ht="25.5">
      <c r="A3775" s="112">
        <v>5200402</v>
      </c>
      <c r="B3775" s="110" t="s">
        <v>1309</v>
      </c>
    </row>
    <row r="3776" spans="1:2">
      <c r="A3776" s="112">
        <v>5200500</v>
      </c>
      <c r="B3776" s="110" t="s">
        <v>203</v>
      </c>
    </row>
    <row r="3777" spans="1:2">
      <c r="A3777" s="112">
        <v>5200600</v>
      </c>
      <c r="B3777" s="110" t="s">
        <v>1185</v>
      </c>
    </row>
    <row r="3778" spans="1:2" ht="25.5">
      <c r="A3778" s="112">
        <v>5200700</v>
      </c>
      <c r="B3778" s="110" t="s">
        <v>518</v>
      </c>
    </row>
    <row r="3779" spans="1:2">
      <c r="A3779" s="112">
        <v>5200800</v>
      </c>
      <c r="B3779" s="110" t="s">
        <v>344</v>
      </c>
    </row>
    <row r="3780" spans="1:2">
      <c r="A3780" s="112">
        <v>5200900</v>
      </c>
      <c r="B3780" s="110" t="s">
        <v>345</v>
      </c>
    </row>
    <row r="3781" spans="1:2">
      <c r="A3781" s="112">
        <v>5200901</v>
      </c>
      <c r="B3781" s="110" t="s">
        <v>345</v>
      </c>
    </row>
    <row r="3782" spans="1:2" ht="25.5">
      <c r="A3782" s="112">
        <v>5201000</v>
      </c>
      <c r="B3782" s="110" t="s">
        <v>777</v>
      </c>
    </row>
    <row r="3783" spans="1:2">
      <c r="A3783" s="112">
        <v>5201001</v>
      </c>
      <c r="B3783" s="110" t="s">
        <v>2012</v>
      </c>
    </row>
    <row r="3784" spans="1:2">
      <c r="A3784" s="112">
        <v>5201100</v>
      </c>
      <c r="B3784" s="110" t="s">
        <v>1244</v>
      </c>
    </row>
    <row r="3785" spans="1:2">
      <c r="A3785" s="112">
        <v>5201200</v>
      </c>
      <c r="B3785" s="110" t="s">
        <v>778</v>
      </c>
    </row>
    <row r="3786" spans="1:2">
      <c r="A3786" s="112">
        <v>5201300</v>
      </c>
      <c r="B3786" s="110" t="s">
        <v>1190</v>
      </c>
    </row>
    <row r="3787" spans="1:2">
      <c r="A3787" s="112">
        <v>5201301</v>
      </c>
      <c r="B3787" s="110" t="s">
        <v>1190</v>
      </c>
    </row>
    <row r="3788" spans="1:2">
      <c r="A3788" s="112">
        <v>5201311</v>
      </c>
      <c r="B3788" s="110" t="s">
        <v>182</v>
      </c>
    </row>
    <row r="3789" spans="1:2">
      <c r="A3789" s="112">
        <v>5201312</v>
      </c>
      <c r="B3789" s="110" t="s">
        <v>184</v>
      </c>
    </row>
    <row r="3790" spans="1:2">
      <c r="A3790" s="112">
        <v>5201313</v>
      </c>
      <c r="B3790" s="110" t="s">
        <v>433</v>
      </c>
    </row>
    <row r="3791" spans="1:2">
      <c r="A3791" s="112">
        <v>5201320</v>
      </c>
      <c r="B3791" s="110" t="s">
        <v>433</v>
      </c>
    </row>
    <row r="3792" spans="1:2">
      <c r="A3792" s="112">
        <v>5201400</v>
      </c>
      <c r="B3792" s="110" t="s">
        <v>957</v>
      </c>
    </row>
    <row r="3793" spans="1:2" ht="25.5">
      <c r="A3793" s="112">
        <v>5201500</v>
      </c>
      <c r="B3793" s="110" t="s">
        <v>1310</v>
      </c>
    </row>
    <row r="3794" spans="1:2" ht="25.5">
      <c r="A3794" s="112">
        <v>5201600</v>
      </c>
      <c r="B3794" s="110" t="s">
        <v>1614</v>
      </c>
    </row>
    <row r="3795" spans="1:2" ht="25.5">
      <c r="A3795" s="112">
        <v>5201800</v>
      </c>
      <c r="B3795" s="110" t="s">
        <v>128</v>
      </c>
    </row>
    <row r="3796" spans="1:2">
      <c r="A3796" s="112">
        <v>5202000</v>
      </c>
      <c r="B3796" s="110" t="s">
        <v>1311</v>
      </c>
    </row>
    <row r="3797" spans="1:2" ht="51">
      <c r="A3797" s="112">
        <v>5202100</v>
      </c>
      <c r="B3797" s="111" t="s">
        <v>500</v>
      </c>
    </row>
    <row r="3798" spans="1:2">
      <c r="A3798" s="112">
        <v>5202300</v>
      </c>
      <c r="B3798" s="110" t="s">
        <v>1312</v>
      </c>
    </row>
    <row r="3799" spans="1:2">
      <c r="A3799" s="112">
        <v>5202400</v>
      </c>
      <c r="B3799" s="110" t="s">
        <v>1313</v>
      </c>
    </row>
    <row r="3800" spans="1:2">
      <c r="A3800" s="112">
        <v>5202401</v>
      </c>
      <c r="B3800" s="110" t="s">
        <v>2197</v>
      </c>
    </row>
    <row r="3801" spans="1:2">
      <c r="A3801" s="112">
        <v>5202402</v>
      </c>
      <c r="B3801" s="110" t="s">
        <v>2224</v>
      </c>
    </row>
    <row r="3802" spans="1:2" ht="25.5">
      <c r="A3802" s="112">
        <v>5202500</v>
      </c>
      <c r="B3802" s="110" t="s">
        <v>1314</v>
      </c>
    </row>
    <row r="3803" spans="1:2">
      <c r="A3803" s="112">
        <v>5202600</v>
      </c>
      <c r="B3803" s="110" t="s">
        <v>1315</v>
      </c>
    </row>
    <row r="3804" spans="1:2" ht="38.25">
      <c r="A3804" s="112">
        <v>5202700</v>
      </c>
      <c r="B3804" s="111" t="s">
        <v>1316</v>
      </c>
    </row>
    <row r="3805" spans="1:2">
      <c r="A3805" s="112">
        <v>5202800</v>
      </c>
      <c r="B3805" s="110" t="s">
        <v>1317</v>
      </c>
    </row>
    <row r="3806" spans="1:2">
      <c r="A3806" s="112">
        <v>5203010</v>
      </c>
      <c r="B3806" s="110" t="s">
        <v>1318</v>
      </c>
    </row>
    <row r="3807" spans="1:2">
      <c r="A3807" s="112">
        <v>5203012</v>
      </c>
      <c r="B3807" s="110" t="s">
        <v>86</v>
      </c>
    </row>
    <row r="3808" spans="1:2">
      <c r="A3808" s="112">
        <v>5210000</v>
      </c>
      <c r="B3808" s="111" t="s">
        <v>1993</v>
      </c>
    </row>
    <row r="3809" spans="1:2" ht="25.5">
      <c r="A3809" s="112">
        <v>5210100</v>
      </c>
      <c r="B3809" s="111" t="s">
        <v>2041</v>
      </c>
    </row>
    <row r="3810" spans="1:2">
      <c r="A3810" s="112">
        <v>5210110</v>
      </c>
      <c r="B3810" s="110" t="s">
        <v>1319</v>
      </c>
    </row>
    <row r="3811" spans="1:2">
      <c r="A3811" s="112">
        <v>5210112</v>
      </c>
      <c r="B3811" s="110" t="s">
        <v>61</v>
      </c>
    </row>
    <row r="3812" spans="1:2" ht="25.5">
      <c r="A3812" s="112">
        <v>5210113</v>
      </c>
      <c r="B3812" s="110" t="s">
        <v>1771</v>
      </c>
    </row>
    <row r="3813" spans="1:2">
      <c r="A3813" s="112">
        <v>5210114</v>
      </c>
      <c r="B3813" s="110" t="s">
        <v>1772</v>
      </c>
    </row>
    <row r="3814" spans="1:2" ht="25.5">
      <c r="A3814" s="112">
        <v>5210125</v>
      </c>
      <c r="B3814" s="110" t="s">
        <v>1952</v>
      </c>
    </row>
    <row r="3815" spans="1:2">
      <c r="A3815" s="112">
        <v>5210139</v>
      </c>
      <c r="B3815" s="110" t="s">
        <v>2182</v>
      </c>
    </row>
    <row r="3816" spans="1:2">
      <c r="A3816" s="112">
        <v>5210129</v>
      </c>
      <c r="B3816" s="110" t="s">
        <v>2013</v>
      </c>
    </row>
    <row r="3817" spans="1:2">
      <c r="A3817" s="112">
        <v>5210300</v>
      </c>
      <c r="B3817" s="110" t="s">
        <v>1773</v>
      </c>
    </row>
    <row r="3818" spans="1:2">
      <c r="A3818" s="112">
        <v>5210301</v>
      </c>
      <c r="B3818" s="110" t="s">
        <v>706</v>
      </c>
    </row>
    <row r="3819" spans="1:2" ht="25.5">
      <c r="A3819" s="112">
        <v>5210302</v>
      </c>
      <c r="B3819" s="110" t="s">
        <v>961</v>
      </c>
    </row>
    <row r="3820" spans="1:2" ht="25.5">
      <c r="A3820" s="112">
        <v>5210303</v>
      </c>
      <c r="B3820" s="110" t="s">
        <v>962</v>
      </c>
    </row>
    <row r="3821" spans="1:2">
      <c r="A3821" s="112">
        <v>5220000</v>
      </c>
      <c r="B3821" s="110" t="s">
        <v>483</v>
      </c>
    </row>
    <row r="3822" spans="1:2">
      <c r="A3822" s="112">
        <v>5220100</v>
      </c>
      <c r="B3822" s="110" t="s">
        <v>1774</v>
      </c>
    </row>
    <row r="3823" spans="1:2">
      <c r="A3823" s="112">
        <v>5220200</v>
      </c>
      <c r="B3823" s="110" t="s">
        <v>1554</v>
      </c>
    </row>
    <row r="3824" spans="1:2" ht="25.5">
      <c r="A3824" s="112">
        <v>5220202</v>
      </c>
      <c r="B3824" s="110" t="s">
        <v>1070</v>
      </c>
    </row>
    <row r="3825" spans="1:2">
      <c r="A3825" s="112">
        <v>5220400</v>
      </c>
      <c r="B3825" s="110" t="s">
        <v>1695</v>
      </c>
    </row>
    <row r="3826" spans="1:2" ht="25.5">
      <c r="A3826" s="112">
        <v>5220700</v>
      </c>
      <c r="B3826" s="110" t="s">
        <v>1696</v>
      </c>
    </row>
    <row r="3827" spans="1:2">
      <c r="A3827" s="112">
        <v>5220900</v>
      </c>
      <c r="B3827" s="110" t="s">
        <v>1867</v>
      </c>
    </row>
    <row r="3828" spans="1:2">
      <c r="A3828" s="112">
        <v>5221200</v>
      </c>
      <c r="B3828" s="110" t="s">
        <v>1697</v>
      </c>
    </row>
    <row r="3829" spans="1:2">
      <c r="A3829" s="112">
        <v>5221201</v>
      </c>
      <c r="B3829" s="110" t="s">
        <v>1698</v>
      </c>
    </row>
    <row r="3830" spans="1:2" ht="25.5">
      <c r="A3830" s="112">
        <v>5221202</v>
      </c>
      <c r="B3830" s="110" t="s">
        <v>2014</v>
      </c>
    </row>
    <row r="3831" spans="1:2">
      <c r="A3831" s="112">
        <v>5221300</v>
      </c>
      <c r="B3831" s="110" t="s">
        <v>1699</v>
      </c>
    </row>
    <row r="3832" spans="1:2">
      <c r="A3832" s="112">
        <v>5221301</v>
      </c>
      <c r="B3832" s="110" t="s">
        <v>1867</v>
      </c>
    </row>
    <row r="3833" spans="1:2">
      <c r="A3833" s="112">
        <v>5221302</v>
      </c>
      <c r="B3833" s="110" t="s">
        <v>1380</v>
      </c>
    </row>
    <row r="3834" spans="1:2">
      <c r="A3834" s="112">
        <v>5221303</v>
      </c>
      <c r="B3834" s="110" t="s">
        <v>1380</v>
      </c>
    </row>
    <row r="3835" spans="1:2">
      <c r="A3835" s="112">
        <v>5221304</v>
      </c>
      <c r="B3835" s="110" t="s">
        <v>1380</v>
      </c>
    </row>
    <row r="3836" spans="1:2">
      <c r="A3836" s="112">
        <v>5221305</v>
      </c>
      <c r="B3836" s="110" t="s">
        <v>1380</v>
      </c>
    </row>
    <row r="3837" spans="1:2">
      <c r="A3837" s="112">
        <v>5221306</v>
      </c>
      <c r="B3837" s="110" t="s">
        <v>1700</v>
      </c>
    </row>
    <row r="3838" spans="1:2">
      <c r="A3838" s="112">
        <v>5221307</v>
      </c>
      <c r="B3838" s="110" t="s">
        <v>1380</v>
      </c>
    </row>
    <row r="3839" spans="1:2">
      <c r="A3839" s="112">
        <v>5221308</v>
      </c>
      <c r="B3839" s="110" t="s">
        <v>1701</v>
      </c>
    </row>
    <row r="3840" spans="1:2" ht="25.5">
      <c r="A3840" s="112">
        <v>5221309</v>
      </c>
      <c r="B3840" s="110" t="s">
        <v>1702</v>
      </c>
    </row>
    <row r="3841" spans="1:2">
      <c r="A3841" s="112">
        <v>5221310</v>
      </c>
      <c r="B3841" s="110" t="s">
        <v>1703</v>
      </c>
    </row>
    <row r="3842" spans="1:2">
      <c r="A3842" s="112">
        <v>5221312</v>
      </c>
      <c r="B3842" s="110" t="s">
        <v>1868</v>
      </c>
    </row>
    <row r="3843" spans="1:2">
      <c r="A3843" s="112">
        <v>5221313</v>
      </c>
      <c r="B3843" s="110" t="s">
        <v>2058</v>
      </c>
    </row>
    <row r="3844" spans="1:2" ht="25.5">
      <c r="A3844" s="112">
        <v>5221314</v>
      </c>
      <c r="B3844" s="110" t="s">
        <v>2015</v>
      </c>
    </row>
    <row r="3845" spans="1:2">
      <c r="A3845" s="112">
        <v>5221315</v>
      </c>
      <c r="B3845" s="110" t="s">
        <v>2016</v>
      </c>
    </row>
    <row r="3846" spans="1:2">
      <c r="A3846" s="112">
        <v>5221400</v>
      </c>
      <c r="B3846" s="110" t="s">
        <v>2017</v>
      </c>
    </row>
    <row r="3847" spans="1:2">
      <c r="A3847" s="112">
        <v>5221401</v>
      </c>
      <c r="B3847" s="110" t="s">
        <v>1704</v>
      </c>
    </row>
    <row r="3848" spans="1:2">
      <c r="A3848" s="112">
        <v>5221900</v>
      </c>
      <c r="B3848" s="110" t="s">
        <v>1705</v>
      </c>
    </row>
    <row r="3849" spans="1:2" ht="25.5">
      <c r="A3849" s="112">
        <v>5222100</v>
      </c>
      <c r="B3849" s="110" t="s">
        <v>2047</v>
      </c>
    </row>
    <row r="3850" spans="1:2" ht="25.5">
      <c r="A3850" s="112">
        <v>5222101</v>
      </c>
      <c r="B3850" s="110" t="s">
        <v>2048</v>
      </c>
    </row>
    <row r="3851" spans="1:2" ht="25.5">
      <c r="A3851" s="112">
        <v>5222900</v>
      </c>
      <c r="B3851" s="110" t="s">
        <v>708</v>
      </c>
    </row>
    <row r="3852" spans="1:2" ht="25.5">
      <c r="A3852" s="112">
        <v>5222902</v>
      </c>
      <c r="B3852" s="110" t="s">
        <v>708</v>
      </c>
    </row>
    <row r="3853" spans="1:2">
      <c r="A3853" s="112">
        <v>5223100</v>
      </c>
      <c r="B3853" s="110" t="s">
        <v>1706</v>
      </c>
    </row>
    <row r="3854" spans="1:2">
      <c r="A3854" s="112">
        <v>5223101</v>
      </c>
      <c r="B3854" s="110" t="s">
        <v>1707</v>
      </c>
    </row>
    <row r="3855" spans="1:2" ht="25.5">
      <c r="A3855" s="112">
        <v>5223102</v>
      </c>
      <c r="B3855" s="110" t="s">
        <v>1708</v>
      </c>
    </row>
    <row r="3856" spans="1:2" ht="25.5">
      <c r="A3856" s="112">
        <v>5223103</v>
      </c>
      <c r="B3856" s="110" t="s">
        <v>1709</v>
      </c>
    </row>
    <row r="3857" spans="1:2">
      <c r="A3857" s="112">
        <v>5223200</v>
      </c>
      <c r="B3857" s="110" t="s">
        <v>1710</v>
      </c>
    </row>
    <row r="3858" spans="1:2">
      <c r="A3858" s="112">
        <v>5223300</v>
      </c>
      <c r="B3858" s="110" t="s">
        <v>779</v>
      </c>
    </row>
    <row r="3859" spans="1:2" ht="38.25">
      <c r="A3859" s="112">
        <v>5223302</v>
      </c>
      <c r="B3859" s="110" t="s">
        <v>1711</v>
      </c>
    </row>
    <row r="3860" spans="1:2" ht="25.5">
      <c r="A3860" s="112">
        <v>5223400</v>
      </c>
      <c r="B3860" s="110" t="s">
        <v>1712</v>
      </c>
    </row>
    <row r="3861" spans="1:2">
      <c r="A3861" s="112">
        <v>5223500</v>
      </c>
      <c r="B3861" s="110" t="s">
        <v>1713</v>
      </c>
    </row>
    <row r="3862" spans="1:2">
      <c r="A3862" s="112">
        <v>5223502</v>
      </c>
      <c r="B3862" s="110" t="s">
        <v>1713</v>
      </c>
    </row>
    <row r="3863" spans="1:2" ht="25.5">
      <c r="A3863" s="112">
        <v>5223800</v>
      </c>
      <c r="B3863" s="110" t="s">
        <v>523</v>
      </c>
    </row>
    <row r="3864" spans="1:2" ht="25.5">
      <c r="A3864" s="112">
        <v>5223803</v>
      </c>
      <c r="B3864" s="110" t="s">
        <v>1869</v>
      </c>
    </row>
    <row r="3865" spans="1:2">
      <c r="A3865" s="112">
        <v>5224000</v>
      </c>
      <c r="B3865" s="110" t="s">
        <v>1741</v>
      </c>
    </row>
    <row r="3866" spans="1:2">
      <c r="A3866" s="112">
        <v>5224002</v>
      </c>
      <c r="B3866" s="110" t="s">
        <v>1714</v>
      </c>
    </row>
    <row r="3867" spans="1:2">
      <c r="A3867" s="112">
        <v>5224005</v>
      </c>
      <c r="B3867" s="110" t="s">
        <v>1715</v>
      </c>
    </row>
    <row r="3868" spans="1:2">
      <c r="A3868" s="112">
        <v>5224400</v>
      </c>
      <c r="B3868" s="110" t="s">
        <v>352</v>
      </c>
    </row>
    <row r="3869" spans="1:2" ht="25.5">
      <c r="A3869" s="112">
        <v>5224600</v>
      </c>
      <c r="B3869" s="110" t="s">
        <v>2018</v>
      </c>
    </row>
    <row r="3870" spans="1:2" ht="25.5">
      <c r="A3870" s="112">
        <v>5224602</v>
      </c>
      <c r="B3870" s="110" t="s">
        <v>2134</v>
      </c>
    </row>
    <row r="3871" spans="1:2" ht="48.75" customHeight="1">
      <c r="A3871" s="112">
        <v>5224603</v>
      </c>
      <c r="B3871" s="111" t="s">
        <v>2135</v>
      </c>
    </row>
    <row r="3872" spans="1:2" ht="25.5">
      <c r="A3872" s="112">
        <v>5224604</v>
      </c>
      <c r="B3872" s="111" t="s">
        <v>2198</v>
      </c>
    </row>
    <row r="3873" spans="1:2" ht="25.5">
      <c r="A3873" s="112">
        <v>5225100</v>
      </c>
      <c r="B3873" s="110" t="s">
        <v>2164</v>
      </c>
    </row>
    <row r="3874" spans="1:2">
      <c r="A3874" s="112">
        <v>5225101</v>
      </c>
      <c r="B3874" s="110" t="s">
        <v>2165</v>
      </c>
    </row>
    <row r="3875" spans="1:2">
      <c r="A3875" s="112">
        <v>5225300</v>
      </c>
      <c r="B3875" s="110" t="s">
        <v>1075</v>
      </c>
    </row>
    <row r="3876" spans="1:2" ht="25.5">
      <c r="A3876" s="112">
        <v>5225301</v>
      </c>
      <c r="B3876" s="110" t="s">
        <v>122</v>
      </c>
    </row>
    <row r="3877" spans="1:2">
      <c r="A3877" s="112">
        <v>5225302</v>
      </c>
      <c r="B3877" s="110" t="s">
        <v>123</v>
      </c>
    </row>
    <row r="3878" spans="1:2">
      <c r="A3878" s="112">
        <v>5225600</v>
      </c>
      <c r="B3878" s="110" t="s">
        <v>1930</v>
      </c>
    </row>
    <row r="3879" spans="1:2" ht="25.5">
      <c r="A3879" s="112">
        <v>5270000</v>
      </c>
      <c r="B3879" s="110" t="s">
        <v>1488</v>
      </c>
    </row>
    <row r="3880" spans="1:2" ht="25.5">
      <c r="A3880" s="112">
        <v>5225700</v>
      </c>
      <c r="B3880" s="110" t="s">
        <v>2256</v>
      </c>
    </row>
    <row r="3881" spans="1:2">
      <c r="A3881" s="112">
        <v>5225701</v>
      </c>
      <c r="B3881" s="110" t="s">
        <v>974</v>
      </c>
    </row>
    <row r="3882" spans="1:2" ht="25.5">
      <c r="A3882" s="112">
        <v>5225705</v>
      </c>
      <c r="B3882" s="110" t="s">
        <v>322</v>
      </c>
    </row>
    <row r="3883" spans="1:2" ht="25.5">
      <c r="A3883" s="112">
        <v>5225800</v>
      </c>
      <c r="B3883" s="110" t="s">
        <v>2019</v>
      </c>
    </row>
    <row r="3884" spans="1:2" ht="25.5">
      <c r="A3884" s="112">
        <v>5225803</v>
      </c>
      <c r="B3884" s="110" t="s">
        <v>1931</v>
      </c>
    </row>
    <row r="3885" spans="1:2">
      <c r="A3885" s="112">
        <v>5225807</v>
      </c>
      <c r="B3885" s="110" t="s">
        <v>2182</v>
      </c>
    </row>
    <row r="3886" spans="1:2" ht="38.25">
      <c r="A3886" s="112">
        <v>5225900</v>
      </c>
      <c r="B3886" s="110" t="s">
        <v>1932</v>
      </c>
    </row>
    <row r="3887" spans="1:2" ht="25.5">
      <c r="A3887" s="112">
        <v>5225901</v>
      </c>
      <c r="B3887" s="110" t="s">
        <v>1480</v>
      </c>
    </row>
    <row r="3888" spans="1:2">
      <c r="A3888" s="112">
        <v>5226000</v>
      </c>
      <c r="B3888" s="118" t="s">
        <v>2020</v>
      </c>
    </row>
    <row r="3889" spans="1:2" ht="25.5">
      <c r="A3889" s="112">
        <v>5226003</v>
      </c>
      <c r="B3889" s="110" t="s">
        <v>1192</v>
      </c>
    </row>
    <row r="3890" spans="1:2" ht="25.5">
      <c r="A3890" s="112">
        <v>5226004</v>
      </c>
      <c r="B3890" s="110" t="s">
        <v>1481</v>
      </c>
    </row>
    <row r="3891" spans="1:2" ht="25.5">
      <c r="A3891" s="112">
        <v>5226006</v>
      </c>
      <c r="B3891" s="137" t="s">
        <v>165</v>
      </c>
    </row>
    <row r="3892" spans="1:2">
      <c r="A3892" s="112">
        <v>5226100</v>
      </c>
      <c r="B3892" s="110" t="s">
        <v>1482</v>
      </c>
    </row>
    <row r="3893" spans="1:2">
      <c r="A3893" s="112">
        <v>5226102</v>
      </c>
      <c r="B3893" s="110" t="s">
        <v>1483</v>
      </c>
    </row>
    <row r="3894" spans="1:2">
      <c r="A3894" s="112">
        <v>5226400</v>
      </c>
      <c r="B3894" s="110" t="s">
        <v>2021</v>
      </c>
    </row>
    <row r="3895" spans="1:2" ht="25.5">
      <c r="A3895" s="112">
        <v>5226401</v>
      </c>
      <c r="B3895" s="110" t="s">
        <v>1484</v>
      </c>
    </row>
    <row r="3896" spans="1:2" ht="25.5">
      <c r="A3896" s="112">
        <v>5226404</v>
      </c>
      <c r="B3896" s="110" t="s">
        <v>2022</v>
      </c>
    </row>
    <row r="3897" spans="1:2">
      <c r="A3897" s="112">
        <v>5226900</v>
      </c>
      <c r="B3897" s="110" t="s">
        <v>1527</v>
      </c>
    </row>
    <row r="3898" spans="1:2" ht="25.5">
      <c r="A3898" s="112">
        <v>5226902</v>
      </c>
      <c r="B3898" s="110" t="s">
        <v>1485</v>
      </c>
    </row>
    <row r="3899" spans="1:2">
      <c r="A3899" s="112">
        <v>5226904</v>
      </c>
      <c r="B3899" s="110" t="s">
        <v>1528</v>
      </c>
    </row>
    <row r="3900" spans="1:2" ht="25.5">
      <c r="A3900" s="112">
        <v>5226905</v>
      </c>
      <c r="B3900" s="110" t="s">
        <v>420</v>
      </c>
    </row>
    <row r="3901" spans="1:2">
      <c r="A3901" s="112">
        <v>5226906</v>
      </c>
      <c r="B3901" s="110" t="s">
        <v>1528</v>
      </c>
    </row>
    <row r="3902" spans="1:2">
      <c r="A3902" s="112">
        <v>5227000</v>
      </c>
      <c r="B3902" s="263" t="s">
        <v>2267</v>
      </c>
    </row>
    <row r="3903" spans="1:2" ht="38.25">
      <c r="A3903" s="112">
        <v>5227002</v>
      </c>
      <c r="B3903" s="110" t="s">
        <v>2269</v>
      </c>
    </row>
    <row r="3904" spans="1:2">
      <c r="A3904" s="112">
        <v>5227200</v>
      </c>
      <c r="B3904" s="110" t="s">
        <v>2038</v>
      </c>
    </row>
    <row r="3905" spans="1:2">
      <c r="A3905" s="112">
        <v>5227201</v>
      </c>
      <c r="B3905" s="110" t="s">
        <v>2039</v>
      </c>
    </row>
    <row r="3906" spans="1:2" ht="25.5">
      <c r="A3906" s="112">
        <v>5227209</v>
      </c>
      <c r="B3906" s="110" t="s">
        <v>2063</v>
      </c>
    </row>
    <row r="3907" spans="1:2">
      <c r="A3907" s="112">
        <v>5227210</v>
      </c>
      <c r="B3907" s="110" t="s">
        <v>2062</v>
      </c>
    </row>
    <row r="3908" spans="1:2">
      <c r="A3908" s="112">
        <v>5227211</v>
      </c>
      <c r="B3908" s="110" t="s">
        <v>2169</v>
      </c>
    </row>
    <row r="3909" spans="1:2">
      <c r="A3909" s="112">
        <v>5227212</v>
      </c>
      <c r="B3909" s="110" t="s">
        <v>2170</v>
      </c>
    </row>
    <row r="3910" spans="1:2">
      <c r="A3910" s="112">
        <v>5228000</v>
      </c>
      <c r="B3910" s="110" t="s">
        <v>2025</v>
      </c>
    </row>
    <row r="3911" spans="1:2" ht="25.5">
      <c r="A3911" s="112">
        <v>5228001</v>
      </c>
      <c r="B3911" s="110" t="s">
        <v>2026</v>
      </c>
    </row>
    <row r="3912" spans="1:2">
      <c r="A3912" s="112">
        <v>5228300</v>
      </c>
      <c r="B3912" s="110" t="s">
        <v>2254</v>
      </c>
    </row>
    <row r="3913" spans="1:2" ht="25.5">
      <c r="A3913" s="112">
        <v>5228303</v>
      </c>
      <c r="B3913" s="110" t="s">
        <v>2255</v>
      </c>
    </row>
    <row r="3914" spans="1:2" ht="25.5">
      <c r="A3914" s="112">
        <v>5228400</v>
      </c>
      <c r="B3914" s="110" t="s">
        <v>2194</v>
      </c>
    </row>
    <row r="3915" spans="1:2" ht="25.5">
      <c r="A3915" s="112">
        <v>5228401</v>
      </c>
      <c r="B3915" s="110" t="s">
        <v>2189</v>
      </c>
    </row>
    <row r="3916" spans="1:2" ht="25.5">
      <c r="A3916" s="112">
        <v>5228402</v>
      </c>
      <c r="B3916" s="110" t="s">
        <v>2191</v>
      </c>
    </row>
    <row r="3917" spans="1:2">
      <c r="A3917" s="112">
        <v>5230000</v>
      </c>
      <c r="B3917" s="110" t="s">
        <v>669</v>
      </c>
    </row>
    <row r="3918" spans="1:2">
      <c r="A3918" s="112">
        <v>5230100</v>
      </c>
      <c r="B3918" s="110" t="s">
        <v>1599</v>
      </c>
    </row>
    <row r="3919" spans="1:2" ht="25.5">
      <c r="A3919" s="112">
        <v>5260000</v>
      </c>
      <c r="B3919" s="110" t="s">
        <v>1486</v>
      </c>
    </row>
    <row r="3920" spans="1:2" ht="25.5">
      <c r="A3920" s="112">
        <v>5260100</v>
      </c>
      <c r="B3920" s="110" t="s">
        <v>1600</v>
      </c>
    </row>
    <row r="3921" spans="1:2" ht="25.5">
      <c r="A3921" s="112">
        <v>5260200</v>
      </c>
      <c r="B3921" s="110" t="s">
        <v>1487</v>
      </c>
    </row>
    <row r="3922" spans="1:2">
      <c r="A3922" s="112">
        <v>5268200</v>
      </c>
      <c r="B3922" s="110" t="s">
        <v>1083</v>
      </c>
    </row>
    <row r="3923" spans="1:2">
      <c r="A3923" s="112"/>
      <c r="B3923" s="76"/>
    </row>
    <row r="3924" spans="1:2">
      <c r="A3924" s="112">
        <v>5268200</v>
      </c>
      <c r="B3924" s="262"/>
    </row>
    <row r="3925" spans="1:2">
      <c r="A3925" s="261"/>
      <c r="B3925" s="262"/>
    </row>
    <row r="3926" spans="1:2">
      <c r="A3926" s="261"/>
      <c r="B3926" s="262"/>
    </row>
    <row r="3927" spans="1:2" ht="51">
      <c r="A3927" s="112">
        <v>5300000</v>
      </c>
      <c r="B3927" s="111" t="s">
        <v>1341</v>
      </c>
    </row>
    <row r="3928" spans="1:2">
      <c r="A3928" s="112">
        <v>5300100</v>
      </c>
      <c r="B3928" s="110" t="s">
        <v>1342</v>
      </c>
    </row>
    <row r="3929" spans="1:2" ht="25.5">
      <c r="A3929" s="112">
        <v>5500000</v>
      </c>
      <c r="B3929" s="110" t="s">
        <v>1489</v>
      </c>
    </row>
    <row r="3930" spans="1:2">
      <c r="A3930" s="112">
        <v>5500200</v>
      </c>
      <c r="B3930" s="110" t="s">
        <v>204</v>
      </c>
    </row>
    <row r="3931" spans="1:2">
      <c r="A3931" s="112">
        <v>5500300</v>
      </c>
      <c r="B3931" s="110" t="s">
        <v>1490</v>
      </c>
    </row>
    <row r="3932" spans="1:2">
      <c r="A3932" s="112">
        <v>5500301</v>
      </c>
      <c r="B3932" s="110" t="s">
        <v>992</v>
      </c>
    </row>
    <row r="3933" spans="1:2">
      <c r="A3933" s="112">
        <v>5500302</v>
      </c>
      <c r="B3933" s="110" t="s">
        <v>982</v>
      </c>
    </row>
    <row r="3934" spans="1:2" ht="25.5">
      <c r="A3934" s="112">
        <v>5500303</v>
      </c>
      <c r="B3934" s="110" t="s">
        <v>983</v>
      </c>
    </row>
    <row r="3935" spans="1:2">
      <c r="A3935" s="112">
        <v>5500400</v>
      </c>
      <c r="B3935" s="110" t="s">
        <v>1063</v>
      </c>
    </row>
    <row r="3936" spans="1:2">
      <c r="A3936" s="112">
        <v>5500500</v>
      </c>
      <c r="B3936" s="110" t="s">
        <v>1146</v>
      </c>
    </row>
    <row r="3937" spans="1:2">
      <c r="A3937" s="112">
        <v>5500600</v>
      </c>
      <c r="B3937" s="110" t="s">
        <v>984</v>
      </c>
    </row>
    <row r="3938" spans="1:2">
      <c r="A3938" s="112">
        <v>5500601</v>
      </c>
      <c r="B3938" s="110" t="s">
        <v>985</v>
      </c>
    </row>
    <row r="3939" spans="1:2">
      <c r="A3939" s="112">
        <v>6000000</v>
      </c>
      <c r="B3939" s="110" t="s">
        <v>330</v>
      </c>
    </row>
    <row r="3940" spans="1:2">
      <c r="A3940" s="112">
        <v>6000100</v>
      </c>
      <c r="B3940" s="110" t="s">
        <v>308</v>
      </c>
    </row>
    <row r="3941" spans="1:2" ht="25.5">
      <c r="A3941" s="112">
        <v>6000200</v>
      </c>
      <c r="B3941" s="110" t="s">
        <v>199</v>
      </c>
    </row>
    <row r="3942" spans="1:2">
      <c r="A3942" s="112">
        <v>6000300</v>
      </c>
      <c r="B3942" s="110" t="s">
        <v>200</v>
      </c>
    </row>
    <row r="3943" spans="1:2">
      <c r="A3943" s="112">
        <v>6000400</v>
      </c>
      <c r="B3943" s="110" t="s">
        <v>986</v>
      </c>
    </row>
    <row r="3944" spans="1:2">
      <c r="A3944" s="112">
        <v>6000500</v>
      </c>
      <c r="B3944" s="110" t="s">
        <v>506</v>
      </c>
    </row>
    <row r="3945" spans="1:2" ht="25.5">
      <c r="A3945" s="112">
        <v>6010000</v>
      </c>
      <c r="B3945" s="110" t="s">
        <v>987</v>
      </c>
    </row>
    <row r="3946" spans="1:2">
      <c r="A3946" s="112">
        <v>7010000</v>
      </c>
      <c r="B3946" s="110" t="s">
        <v>988</v>
      </c>
    </row>
    <row r="3947" spans="1:2">
      <c r="A3947" s="112">
        <v>7010100</v>
      </c>
      <c r="B3947" s="110" t="s">
        <v>989</v>
      </c>
    </row>
    <row r="3948" spans="1:2" ht="25.5">
      <c r="A3948" s="112">
        <v>7050000</v>
      </c>
      <c r="B3948" s="110" t="s">
        <v>709</v>
      </c>
    </row>
    <row r="3949" spans="1:2" ht="38.25">
      <c r="A3949" s="112">
        <v>7050100</v>
      </c>
      <c r="B3949" s="110" t="s">
        <v>206</v>
      </c>
    </row>
    <row r="3950" spans="1:2" ht="25.5">
      <c r="A3950" s="112">
        <v>7050200</v>
      </c>
      <c r="B3950" s="110" t="s">
        <v>47</v>
      </c>
    </row>
    <row r="3951" spans="1:2" ht="25.5">
      <c r="A3951" s="112">
        <v>7050300</v>
      </c>
      <c r="B3951" s="110" t="s">
        <v>1201</v>
      </c>
    </row>
    <row r="3952" spans="1:2" ht="25.5">
      <c r="A3952" s="112">
        <v>7050400</v>
      </c>
      <c r="B3952" s="110" t="s">
        <v>388</v>
      </c>
    </row>
    <row r="3953" spans="1:2">
      <c r="A3953" s="112">
        <v>7050401</v>
      </c>
      <c r="B3953" s="110" t="s">
        <v>389</v>
      </c>
    </row>
    <row r="3954" spans="1:2">
      <c r="A3954" s="112">
        <v>7050402</v>
      </c>
      <c r="B3954" s="110" t="s">
        <v>927</v>
      </c>
    </row>
    <row r="3955" spans="1:2">
      <c r="A3955" s="112">
        <v>7050403</v>
      </c>
      <c r="B3955" s="110" t="s">
        <v>520</v>
      </c>
    </row>
    <row r="3956" spans="1:2">
      <c r="A3956" s="112">
        <v>7050404</v>
      </c>
      <c r="B3956" s="110" t="s">
        <v>1206</v>
      </c>
    </row>
    <row r="3957" spans="1:2">
      <c r="A3957" s="112">
        <v>7050405</v>
      </c>
      <c r="B3957" s="110" t="s">
        <v>863</v>
      </c>
    </row>
    <row r="3958" spans="1:2">
      <c r="A3958" s="112">
        <v>7050406</v>
      </c>
      <c r="B3958" s="110" t="s">
        <v>1397</v>
      </c>
    </row>
    <row r="3959" spans="1:2">
      <c r="A3959" s="112">
        <v>7050407</v>
      </c>
      <c r="B3959" s="110" t="s">
        <v>1398</v>
      </c>
    </row>
    <row r="3960" spans="1:2">
      <c r="A3960" s="112">
        <v>7050408</v>
      </c>
      <c r="B3960" s="110" t="s">
        <v>919</v>
      </c>
    </row>
    <row r="3961" spans="1:2">
      <c r="A3961" s="112">
        <v>7050409</v>
      </c>
      <c r="B3961" s="110" t="s">
        <v>1339</v>
      </c>
    </row>
    <row r="3962" spans="1:2" ht="25.5">
      <c r="A3962" s="112">
        <v>7050500</v>
      </c>
      <c r="B3962" s="110" t="s">
        <v>947</v>
      </c>
    </row>
    <row r="3963" spans="1:2">
      <c r="A3963" s="112">
        <v>7050501</v>
      </c>
      <c r="B3963" s="110" t="s">
        <v>389</v>
      </c>
    </row>
    <row r="3964" spans="1:2">
      <c r="A3964" s="112">
        <v>7050502</v>
      </c>
      <c r="B3964" s="110" t="s">
        <v>927</v>
      </c>
    </row>
    <row r="3965" spans="1:2">
      <c r="A3965" s="112">
        <v>7050503</v>
      </c>
      <c r="B3965" s="110" t="s">
        <v>520</v>
      </c>
    </row>
    <row r="3966" spans="1:2">
      <c r="A3966" s="112">
        <v>7050505</v>
      </c>
      <c r="B3966" s="110" t="s">
        <v>863</v>
      </c>
    </row>
    <row r="3967" spans="1:2">
      <c r="A3967" s="112">
        <v>7050506</v>
      </c>
      <c r="B3967" s="110" t="s">
        <v>1397</v>
      </c>
    </row>
    <row r="3968" spans="1:2">
      <c r="A3968" s="112">
        <v>7050507</v>
      </c>
      <c r="B3968" s="110" t="s">
        <v>1398</v>
      </c>
    </row>
    <row r="3969" spans="1:2">
      <c r="A3969" s="112">
        <v>7050508</v>
      </c>
      <c r="B3969" s="110" t="s">
        <v>919</v>
      </c>
    </row>
    <row r="3970" spans="1:2">
      <c r="A3970" s="112">
        <v>7050509</v>
      </c>
      <c r="B3970" s="110" t="s">
        <v>1339</v>
      </c>
    </row>
    <row r="3971" spans="1:2" ht="25.5">
      <c r="A3971" s="112">
        <v>7050600</v>
      </c>
      <c r="B3971" s="110" t="s">
        <v>1054</v>
      </c>
    </row>
    <row r="3972" spans="1:2">
      <c r="A3972" s="112">
        <v>7050601</v>
      </c>
      <c r="B3972" s="110" t="s">
        <v>389</v>
      </c>
    </row>
    <row r="3973" spans="1:2">
      <c r="A3973" s="112">
        <v>7050602</v>
      </c>
      <c r="B3973" s="110" t="s">
        <v>927</v>
      </c>
    </row>
    <row r="3974" spans="1:2">
      <c r="A3974" s="112">
        <v>7050603</v>
      </c>
      <c r="B3974" s="110" t="s">
        <v>520</v>
      </c>
    </row>
    <row r="3975" spans="1:2">
      <c r="A3975" s="112">
        <v>7050604</v>
      </c>
      <c r="B3975" s="110" t="s">
        <v>1206</v>
      </c>
    </row>
    <row r="3976" spans="1:2">
      <c r="A3976" s="112">
        <v>7050605</v>
      </c>
      <c r="B3976" s="110" t="s">
        <v>863</v>
      </c>
    </row>
    <row r="3977" spans="1:2">
      <c r="A3977" s="112">
        <v>7050606</v>
      </c>
      <c r="B3977" s="110" t="s">
        <v>1397</v>
      </c>
    </row>
    <row r="3978" spans="1:2">
      <c r="A3978" s="112">
        <v>7050607</v>
      </c>
      <c r="B3978" s="110" t="s">
        <v>1398</v>
      </c>
    </row>
    <row r="3979" spans="1:2">
      <c r="A3979" s="112">
        <v>7050608</v>
      </c>
      <c r="B3979" s="110" t="s">
        <v>919</v>
      </c>
    </row>
    <row r="3980" spans="1:2">
      <c r="A3980" s="112">
        <v>7050609</v>
      </c>
      <c r="B3980" s="110" t="s">
        <v>1339</v>
      </c>
    </row>
    <row r="3981" spans="1:2" ht="25.5">
      <c r="A3981" s="112">
        <v>7050700</v>
      </c>
      <c r="B3981" s="110" t="s">
        <v>429</v>
      </c>
    </row>
    <row r="3982" spans="1:2">
      <c r="A3982" s="112">
        <v>7050703</v>
      </c>
      <c r="B3982" s="110" t="s">
        <v>520</v>
      </c>
    </row>
    <row r="3983" spans="1:2">
      <c r="A3983" s="112">
        <v>7050706</v>
      </c>
      <c r="B3983" s="110" t="s">
        <v>1397</v>
      </c>
    </row>
    <row r="3984" spans="1:2">
      <c r="A3984" s="112">
        <v>7050707</v>
      </c>
      <c r="B3984" s="110" t="s">
        <v>1398</v>
      </c>
    </row>
    <row r="3985" spans="1:2">
      <c r="A3985" s="112">
        <v>7050708</v>
      </c>
      <c r="B3985" s="110" t="s">
        <v>919</v>
      </c>
    </row>
    <row r="3986" spans="1:2">
      <c r="A3986" s="112">
        <v>7050709</v>
      </c>
      <c r="B3986" s="110" t="s">
        <v>1339</v>
      </c>
    </row>
    <row r="3987" spans="1:2">
      <c r="A3987" s="112">
        <v>7950000</v>
      </c>
      <c r="B3987" s="110" t="s">
        <v>1019</v>
      </c>
    </row>
    <row r="3988" spans="1:2">
      <c r="A3988" s="112">
        <v>7950100</v>
      </c>
      <c r="B3988" s="110" t="s">
        <v>2032</v>
      </c>
    </row>
    <row r="3989" spans="1:2">
      <c r="A3989" s="112">
        <v>7950200</v>
      </c>
      <c r="B3989" s="110" t="s">
        <v>2049</v>
      </c>
    </row>
    <row r="3990" spans="1:2">
      <c r="A3990" s="112">
        <v>7950300</v>
      </c>
      <c r="B3990" s="110" t="s">
        <v>990</v>
      </c>
    </row>
    <row r="3991" spans="1:2">
      <c r="A3991" s="112">
        <v>7950400</v>
      </c>
      <c r="B3991" s="110" t="s">
        <v>1343</v>
      </c>
    </row>
    <row r="3992" spans="1:2" ht="25.5">
      <c r="A3992" s="112">
        <v>7950500</v>
      </c>
      <c r="B3992" s="110" t="s">
        <v>1870</v>
      </c>
    </row>
    <row r="3993" spans="1:2" ht="25.5">
      <c r="A3993" s="112">
        <v>7950600</v>
      </c>
      <c r="B3993" s="110" t="s">
        <v>1344</v>
      </c>
    </row>
    <row r="3994" spans="1:2" ht="25.5">
      <c r="A3994" s="112">
        <v>7950700</v>
      </c>
      <c r="B3994" s="110" t="s">
        <v>2031</v>
      </c>
    </row>
    <row r="3995" spans="1:2" ht="15" customHeight="1">
      <c r="A3995" s="112">
        <v>7950800</v>
      </c>
      <c r="B3995" s="110" t="s">
        <v>65</v>
      </c>
    </row>
    <row r="3996" spans="1:2">
      <c r="A3996" s="112">
        <v>7950900</v>
      </c>
      <c r="B3996" s="110" t="s">
        <v>2035</v>
      </c>
    </row>
    <row r="3997" spans="1:2">
      <c r="A3997" s="112">
        <v>7951000</v>
      </c>
      <c r="B3997" s="110" t="s">
        <v>1859</v>
      </c>
    </row>
    <row r="3998" spans="1:2">
      <c r="A3998" s="112">
        <v>7951100</v>
      </c>
      <c r="B3998" s="110" t="s">
        <v>735</v>
      </c>
    </row>
    <row r="3999" spans="1:2">
      <c r="A3999" s="112">
        <v>7951200</v>
      </c>
      <c r="B3999" s="110" t="s">
        <v>1860</v>
      </c>
    </row>
    <row r="4000" spans="1:2">
      <c r="A4000" s="112">
        <v>7951300</v>
      </c>
      <c r="B4000" s="110" t="s">
        <v>278</v>
      </c>
    </row>
    <row r="4001" spans="1:2" ht="25.5">
      <c r="A4001" s="112">
        <v>7951301</v>
      </c>
      <c r="B4001" s="110" t="s">
        <v>2023</v>
      </c>
    </row>
    <row r="4002" spans="1:2" ht="25.5">
      <c r="A4002" s="112">
        <v>7951302</v>
      </c>
      <c r="B4002" s="110" t="s">
        <v>1681</v>
      </c>
    </row>
    <row r="4003" spans="1:2" ht="25.5">
      <c r="A4003" s="112">
        <v>7951303</v>
      </c>
      <c r="B4003" s="110" t="s">
        <v>15</v>
      </c>
    </row>
    <row r="4004" spans="1:2" ht="25.5">
      <c r="A4004" s="112">
        <v>7951304</v>
      </c>
      <c r="B4004" s="110" t="s">
        <v>16</v>
      </c>
    </row>
    <row r="4005" spans="1:2" ht="25.5">
      <c r="A4005" s="112">
        <v>7951400</v>
      </c>
      <c r="B4005" s="110" t="s">
        <v>2027</v>
      </c>
    </row>
    <row r="4006" spans="1:2" ht="17.25" customHeight="1">
      <c r="A4006" s="112">
        <v>7951500</v>
      </c>
      <c r="B4006" s="110" t="s">
        <v>2123</v>
      </c>
    </row>
    <row r="4007" spans="1:2">
      <c r="A4007" s="112">
        <v>7951600</v>
      </c>
      <c r="B4007" s="110" t="s">
        <v>2028</v>
      </c>
    </row>
    <row r="4008" spans="1:2">
      <c r="A4008" s="112">
        <v>7951700</v>
      </c>
      <c r="B4008" s="110" t="s">
        <v>2046</v>
      </c>
    </row>
    <row r="4009" spans="1:2">
      <c r="A4009" s="112">
        <v>7951800</v>
      </c>
      <c r="B4009" s="110" t="s">
        <v>2029</v>
      </c>
    </row>
    <row r="4010" spans="1:2">
      <c r="A4010" s="112">
        <v>7951900</v>
      </c>
      <c r="B4010" s="110" t="s">
        <v>2030</v>
      </c>
    </row>
    <row r="4011" spans="1:2">
      <c r="A4011" s="112">
        <v>7952000</v>
      </c>
      <c r="B4011" s="110" t="s">
        <v>2033</v>
      </c>
    </row>
    <row r="4012" spans="1:2">
      <c r="A4012" s="112">
        <v>7952100</v>
      </c>
      <c r="B4012" s="110" t="s">
        <v>2034</v>
      </c>
    </row>
    <row r="4013" spans="1:2">
      <c r="A4013" s="112">
        <v>7952200</v>
      </c>
      <c r="B4013" s="110" t="s">
        <v>2037</v>
      </c>
    </row>
    <row r="4014" spans="1:2">
      <c r="A4014" s="112">
        <v>7952300</v>
      </c>
      <c r="B4014" s="138" t="s">
        <v>2051</v>
      </c>
    </row>
    <row r="4015" spans="1:2" ht="25.5">
      <c r="A4015" s="112">
        <v>7952400</v>
      </c>
      <c r="B4015" s="138" t="s">
        <v>2059</v>
      </c>
    </row>
    <row r="4016" spans="1:2">
      <c r="A4016" s="112">
        <v>9980000</v>
      </c>
      <c r="B4016" s="110" t="s">
        <v>2024</v>
      </c>
    </row>
    <row r="4017" spans="1:2">
      <c r="A4017" s="112">
        <v>9990000</v>
      </c>
      <c r="B4017" s="110" t="s">
        <v>1861</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Лист28"/>
  <dimension ref="A1:B1932"/>
  <sheetViews>
    <sheetView showGridLines="0" topLeftCell="A1820" zoomScaleSheetLayoutView="120" workbookViewId="0">
      <selection activeCell="B1882" sqref="B1882"/>
    </sheetView>
  </sheetViews>
  <sheetFormatPr defaultColWidth="9.140625" defaultRowHeight="12.75"/>
  <cols>
    <col min="1" max="1" width="7.140625" style="61" customWidth="1"/>
    <col min="2" max="2" width="128" style="105" customWidth="1"/>
    <col min="3" max="16384" width="9.140625" style="45"/>
  </cols>
  <sheetData>
    <row r="1" spans="2:2" hidden="1">
      <c r="B1" s="104"/>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103">
        <v>100</v>
      </c>
      <c r="B1820" s="106" t="s">
        <v>1107</v>
      </c>
    </row>
    <row r="1821" spans="1:2">
      <c r="A1821" s="103">
        <v>110</v>
      </c>
      <c r="B1821" s="106" t="s">
        <v>1108</v>
      </c>
    </row>
    <row r="1822" spans="1:2">
      <c r="A1822" s="103">
        <v>111</v>
      </c>
      <c r="B1822" s="106" t="s">
        <v>1109</v>
      </c>
    </row>
    <row r="1823" spans="1:2">
      <c r="A1823" s="103">
        <v>112</v>
      </c>
      <c r="B1823" s="106" t="s">
        <v>1110</v>
      </c>
    </row>
    <row r="1824" spans="1:2">
      <c r="A1824" s="103">
        <v>120</v>
      </c>
      <c r="B1824" s="106" t="s">
        <v>1111</v>
      </c>
    </row>
    <row r="1825" spans="1:2">
      <c r="A1825" s="103">
        <v>121</v>
      </c>
      <c r="B1825" s="106" t="s">
        <v>1109</v>
      </c>
    </row>
    <row r="1826" spans="1:2">
      <c r="A1826" s="103">
        <v>122</v>
      </c>
      <c r="B1826" s="106" t="s">
        <v>1110</v>
      </c>
    </row>
    <row r="1827" spans="1:2">
      <c r="A1827" s="103">
        <v>130</v>
      </c>
      <c r="B1827" s="106" t="s">
        <v>533</v>
      </c>
    </row>
    <row r="1828" spans="1:2">
      <c r="A1828" s="103">
        <v>131</v>
      </c>
      <c r="B1828" s="106" t="s">
        <v>534</v>
      </c>
    </row>
    <row r="1829" spans="1:2">
      <c r="A1829" s="103">
        <v>132</v>
      </c>
      <c r="B1829" s="106" t="s">
        <v>535</v>
      </c>
    </row>
    <row r="1830" spans="1:2">
      <c r="A1830" s="103">
        <v>133</v>
      </c>
      <c r="B1830" s="106" t="s">
        <v>536</v>
      </c>
    </row>
    <row r="1831" spans="1:2">
      <c r="A1831" s="103">
        <v>134</v>
      </c>
      <c r="B1831" s="106" t="s">
        <v>537</v>
      </c>
    </row>
    <row r="1832" spans="1:2">
      <c r="A1832" s="103">
        <v>140</v>
      </c>
      <c r="B1832" s="106" t="s">
        <v>538</v>
      </c>
    </row>
    <row r="1833" spans="1:2">
      <c r="A1833" s="103">
        <v>141</v>
      </c>
      <c r="B1833" s="106" t="s">
        <v>1109</v>
      </c>
    </row>
    <row r="1834" spans="1:2" ht="25.5">
      <c r="A1834" s="103">
        <v>142</v>
      </c>
      <c r="B1834" s="106" t="s">
        <v>539</v>
      </c>
    </row>
    <row r="1835" spans="1:2">
      <c r="A1835" s="103">
        <v>200</v>
      </c>
      <c r="B1835" s="106" t="s">
        <v>540</v>
      </c>
    </row>
    <row r="1836" spans="1:2">
      <c r="A1836" s="103">
        <v>210</v>
      </c>
      <c r="B1836" s="106" t="s">
        <v>541</v>
      </c>
    </row>
    <row r="1837" spans="1:2" ht="25.5">
      <c r="A1837" s="103">
        <v>211</v>
      </c>
      <c r="B1837" s="106" t="s">
        <v>542</v>
      </c>
    </row>
    <row r="1838" spans="1:2" ht="25.5">
      <c r="A1838" s="103">
        <v>212</v>
      </c>
      <c r="B1838" s="106" t="s">
        <v>543</v>
      </c>
    </row>
    <row r="1839" spans="1:2" ht="25.5">
      <c r="A1839" s="103">
        <v>213</v>
      </c>
      <c r="B1839" s="106" t="s">
        <v>544</v>
      </c>
    </row>
    <row r="1840" spans="1:2" ht="25.5">
      <c r="A1840" s="103">
        <v>214</v>
      </c>
      <c r="B1840" s="106" t="s">
        <v>545</v>
      </c>
    </row>
    <row r="1841" spans="1:2" ht="25.5">
      <c r="A1841" s="103">
        <v>215</v>
      </c>
      <c r="B1841" s="106" t="s">
        <v>546</v>
      </c>
    </row>
    <row r="1842" spans="1:2" ht="25.5">
      <c r="A1842" s="103">
        <v>216</v>
      </c>
      <c r="B1842" s="106" t="s">
        <v>1118</v>
      </c>
    </row>
    <row r="1843" spans="1:2" ht="25.5">
      <c r="A1843" s="103">
        <v>217</v>
      </c>
      <c r="B1843" s="106" t="s">
        <v>1119</v>
      </c>
    </row>
    <row r="1844" spans="1:2" ht="25.5">
      <c r="A1844" s="103">
        <v>218</v>
      </c>
      <c r="B1844" s="106" t="s">
        <v>1117</v>
      </c>
    </row>
    <row r="1845" spans="1:2">
      <c r="A1845" s="103">
        <v>219</v>
      </c>
      <c r="B1845" s="106" t="s">
        <v>1650</v>
      </c>
    </row>
    <row r="1846" spans="1:2" ht="25.5">
      <c r="A1846" s="103">
        <v>220</v>
      </c>
      <c r="B1846" s="106" t="s">
        <v>1651</v>
      </c>
    </row>
    <row r="1847" spans="1:2">
      <c r="A1847" s="103">
        <v>221</v>
      </c>
      <c r="B1847" s="106" t="s">
        <v>1652</v>
      </c>
    </row>
    <row r="1848" spans="1:2">
      <c r="A1848" s="103">
        <v>222</v>
      </c>
      <c r="B1848" s="106" t="s">
        <v>1653</v>
      </c>
    </row>
    <row r="1849" spans="1:2">
      <c r="A1849" s="103">
        <v>223</v>
      </c>
      <c r="B1849" s="106" t="s">
        <v>289</v>
      </c>
    </row>
    <row r="1850" spans="1:2">
      <c r="A1850" s="103">
        <v>224</v>
      </c>
      <c r="B1850" s="106" t="s">
        <v>167</v>
      </c>
    </row>
    <row r="1851" spans="1:2">
      <c r="A1851" s="103">
        <v>225</v>
      </c>
      <c r="B1851" s="106" t="s">
        <v>632</v>
      </c>
    </row>
    <row r="1852" spans="1:2">
      <c r="A1852" s="103">
        <v>226</v>
      </c>
      <c r="B1852" s="106" t="s">
        <v>633</v>
      </c>
    </row>
    <row r="1853" spans="1:2">
      <c r="A1853" s="103">
        <v>230</v>
      </c>
      <c r="B1853" s="106" t="s">
        <v>1654</v>
      </c>
    </row>
    <row r="1854" spans="1:2">
      <c r="A1854" s="103">
        <v>240</v>
      </c>
      <c r="B1854" s="106" t="s">
        <v>1655</v>
      </c>
    </row>
    <row r="1855" spans="1:2">
      <c r="A1855" s="103">
        <v>241</v>
      </c>
      <c r="B1855" s="106" t="s">
        <v>211</v>
      </c>
    </row>
    <row r="1856" spans="1:2">
      <c r="A1856" s="103">
        <v>242</v>
      </c>
      <c r="B1856" s="106" t="s">
        <v>1656</v>
      </c>
    </row>
    <row r="1857" spans="1:2">
      <c r="A1857" s="103">
        <v>243</v>
      </c>
      <c r="B1857" s="106" t="s">
        <v>1657</v>
      </c>
    </row>
    <row r="1858" spans="1:2">
      <c r="A1858" s="103">
        <v>244</v>
      </c>
      <c r="B1858" s="106" t="s">
        <v>1658</v>
      </c>
    </row>
    <row r="1859" spans="1:2">
      <c r="A1859" s="103">
        <v>300</v>
      </c>
      <c r="B1859" s="106" t="s">
        <v>1659</v>
      </c>
    </row>
    <row r="1860" spans="1:2">
      <c r="A1860" s="103">
        <v>310</v>
      </c>
      <c r="B1860" s="106" t="s">
        <v>1660</v>
      </c>
    </row>
    <row r="1861" spans="1:2">
      <c r="A1861" s="103">
        <v>311</v>
      </c>
      <c r="B1861" s="106" t="s">
        <v>1661</v>
      </c>
    </row>
    <row r="1862" spans="1:2">
      <c r="A1862" s="103">
        <v>312</v>
      </c>
      <c r="B1862" s="106" t="s">
        <v>1662</v>
      </c>
    </row>
    <row r="1863" spans="1:2">
      <c r="A1863" s="103">
        <v>313</v>
      </c>
      <c r="B1863" s="106" t="s">
        <v>1663</v>
      </c>
    </row>
    <row r="1864" spans="1:2">
      <c r="A1864" s="103">
        <v>314</v>
      </c>
      <c r="B1864" s="106" t="s">
        <v>1664</v>
      </c>
    </row>
    <row r="1865" spans="1:2">
      <c r="A1865" s="103">
        <v>320</v>
      </c>
      <c r="B1865" s="106" t="s">
        <v>1665</v>
      </c>
    </row>
    <row r="1866" spans="1:2">
      <c r="A1866" s="103">
        <v>321</v>
      </c>
      <c r="B1866" s="106" t="s">
        <v>1666</v>
      </c>
    </row>
    <row r="1867" spans="1:2">
      <c r="A1867" s="103">
        <v>322</v>
      </c>
      <c r="B1867" s="106" t="s">
        <v>1667</v>
      </c>
    </row>
    <row r="1868" spans="1:2">
      <c r="A1868" s="103">
        <v>323</v>
      </c>
      <c r="B1868" s="106" t="s">
        <v>1668</v>
      </c>
    </row>
    <row r="1869" spans="1:2">
      <c r="A1869" s="103">
        <v>330</v>
      </c>
      <c r="B1869" s="106" t="s">
        <v>1669</v>
      </c>
    </row>
    <row r="1870" spans="1:2">
      <c r="A1870" s="103">
        <v>340</v>
      </c>
      <c r="B1870" s="106" t="s">
        <v>1670</v>
      </c>
    </row>
    <row r="1871" spans="1:2">
      <c r="A1871" s="103">
        <v>350</v>
      </c>
      <c r="B1871" s="106" t="s">
        <v>1671</v>
      </c>
    </row>
    <row r="1872" spans="1:2">
      <c r="A1872" s="103">
        <v>360</v>
      </c>
      <c r="B1872" s="106" t="s">
        <v>1672</v>
      </c>
    </row>
    <row r="1873" spans="1:2" ht="12.75" customHeight="1">
      <c r="A1873" s="103">
        <v>400</v>
      </c>
      <c r="B1873" s="106" t="s">
        <v>1260</v>
      </c>
    </row>
    <row r="1874" spans="1:2">
      <c r="A1874" s="103">
        <v>410</v>
      </c>
      <c r="B1874" s="106" t="s">
        <v>1673</v>
      </c>
    </row>
    <row r="1875" spans="1:2">
      <c r="A1875" s="103">
        <v>411</v>
      </c>
      <c r="B1875" s="106" t="s">
        <v>1674</v>
      </c>
    </row>
    <row r="1876" spans="1:2">
      <c r="A1876" s="103">
        <v>412</v>
      </c>
      <c r="B1876" s="106" t="s">
        <v>1675</v>
      </c>
    </row>
    <row r="1877" spans="1:2">
      <c r="A1877" s="103">
        <v>413</v>
      </c>
      <c r="B1877" s="106" t="s">
        <v>133</v>
      </c>
    </row>
    <row r="1878" spans="1:2">
      <c r="A1878" s="103">
        <v>414</v>
      </c>
      <c r="B1878" s="106" t="s">
        <v>134</v>
      </c>
    </row>
    <row r="1879" spans="1:2">
      <c r="A1879" s="103">
        <v>415</v>
      </c>
      <c r="B1879" s="106" t="s">
        <v>135</v>
      </c>
    </row>
    <row r="1880" spans="1:2">
      <c r="A1880" s="103">
        <v>420</v>
      </c>
      <c r="B1880" s="106" t="s">
        <v>136</v>
      </c>
    </row>
    <row r="1881" spans="1:2" ht="25.5">
      <c r="A1881" s="103">
        <v>421</v>
      </c>
      <c r="B1881" s="106" t="s">
        <v>137</v>
      </c>
    </row>
    <row r="1882" spans="1:2" ht="25.5">
      <c r="A1882" s="103">
        <v>422</v>
      </c>
      <c r="B1882" s="106" t="s">
        <v>138</v>
      </c>
    </row>
    <row r="1883" spans="1:2">
      <c r="A1883" s="103">
        <v>430</v>
      </c>
      <c r="B1883" s="106" t="s">
        <v>139</v>
      </c>
    </row>
    <row r="1884" spans="1:2">
      <c r="A1884" s="103">
        <v>440</v>
      </c>
      <c r="B1884" s="136" t="s">
        <v>2121</v>
      </c>
    </row>
    <row r="1885" spans="1:2">
      <c r="A1885" s="103">
        <v>441</v>
      </c>
      <c r="B1885" s="136" t="s">
        <v>2122</v>
      </c>
    </row>
    <row r="1886" spans="1:2">
      <c r="A1886" s="103">
        <v>464</v>
      </c>
      <c r="B1886" s="136" t="s">
        <v>2126</v>
      </c>
    </row>
    <row r="1887" spans="1:2">
      <c r="A1887" s="103">
        <v>500</v>
      </c>
      <c r="B1887" s="136" t="s">
        <v>1993</v>
      </c>
    </row>
    <row r="1888" spans="1:2">
      <c r="A1888" s="103">
        <v>510</v>
      </c>
      <c r="B1888" s="106" t="s">
        <v>647</v>
      </c>
    </row>
    <row r="1889" spans="1:2">
      <c r="A1889" s="103">
        <v>511</v>
      </c>
      <c r="B1889" s="106" t="s">
        <v>140</v>
      </c>
    </row>
    <row r="1890" spans="1:2">
      <c r="A1890" s="103">
        <v>512</v>
      </c>
      <c r="B1890" s="106" t="s">
        <v>141</v>
      </c>
    </row>
    <row r="1891" spans="1:2" ht="25.5">
      <c r="A1891" s="103">
        <v>513</v>
      </c>
      <c r="B1891" s="106" t="s">
        <v>142</v>
      </c>
    </row>
    <row r="1892" spans="1:2">
      <c r="A1892" s="103">
        <v>514</v>
      </c>
      <c r="B1892" s="106" t="s">
        <v>143</v>
      </c>
    </row>
    <row r="1893" spans="1:2">
      <c r="A1893" s="103">
        <v>515</v>
      </c>
      <c r="B1893" s="136" t="s">
        <v>882</v>
      </c>
    </row>
    <row r="1894" spans="1:2">
      <c r="A1894" s="103">
        <v>520</v>
      </c>
      <c r="B1894" s="106" t="s">
        <v>1082</v>
      </c>
    </row>
    <row r="1895" spans="1:2" ht="25.5">
      <c r="A1895" s="103">
        <v>521</v>
      </c>
      <c r="B1895" s="106" t="s">
        <v>144</v>
      </c>
    </row>
    <row r="1896" spans="1:2">
      <c r="A1896" s="103">
        <v>522</v>
      </c>
      <c r="B1896" s="106" t="s">
        <v>145</v>
      </c>
    </row>
    <row r="1897" spans="1:2">
      <c r="A1897" s="103">
        <v>530</v>
      </c>
      <c r="B1897" s="106" t="s">
        <v>146</v>
      </c>
    </row>
    <row r="1898" spans="1:2">
      <c r="A1898" s="103">
        <v>540</v>
      </c>
      <c r="B1898" s="136" t="s">
        <v>1992</v>
      </c>
    </row>
    <row r="1899" spans="1:2">
      <c r="A1899" s="103">
        <v>560</v>
      </c>
      <c r="B1899" s="106" t="s">
        <v>147</v>
      </c>
    </row>
    <row r="1900" spans="1:2">
      <c r="A1900" s="103">
        <v>570</v>
      </c>
      <c r="B1900" s="106" t="s">
        <v>148</v>
      </c>
    </row>
    <row r="1901" spans="1:2">
      <c r="A1901" s="103">
        <v>580</v>
      </c>
      <c r="B1901" s="106" t="s">
        <v>149</v>
      </c>
    </row>
    <row r="1902" spans="1:2">
      <c r="A1902" s="103">
        <v>600</v>
      </c>
      <c r="B1902" s="106" t="s">
        <v>1120</v>
      </c>
    </row>
    <row r="1903" spans="1:2">
      <c r="A1903" s="103">
        <v>610</v>
      </c>
      <c r="B1903" s="106" t="s">
        <v>1121</v>
      </c>
    </row>
    <row r="1904" spans="1:2">
      <c r="A1904" s="103">
        <v>611</v>
      </c>
      <c r="B1904" s="106" t="s">
        <v>1122</v>
      </c>
    </row>
    <row r="1905" spans="1:2">
      <c r="A1905" s="103">
        <v>612</v>
      </c>
      <c r="B1905" s="106" t="s">
        <v>1123</v>
      </c>
    </row>
    <row r="1906" spans="1:2">
      <c r="A1906" s="103">
        <v>620</v>
      </c>
      <c r="B1906" s="106" t="s">
        <v>1124</v>
      </c>
    </row>
    <row r="1907" spans="1:2">
      <c r="A1907" s="103">
        <v>621</v>
      </c>
      <c r="B1907" s="106" t="s">
        <v>1125</v>
      </c>
    </row>
    <row r="1908" spans="1:2">
      <c r="A1908" s="103">
        <v>622</v>
      </c>
      <c r="B1908" s="136" t="s">
        <v>1126</v>
      </c>
    </row>
    <row r="1909" spans="1:2">
      <c r="A1909" s="103">
        <v>630</v>
      </c>
      <c r="B1909" s="136" t="s">
        <v>2050</v>
      </c>
    </row>
    <row r="1910" spans="1:2">
      <c r="A1910" s="103">
        <v>700</v>
      </c>
      <c r="B1910" s="106" t="s">
        <v>1127</v>
      </c>
    </row>
    <row r="1911" spans="1:2">
      <c r="A1911" s="103">
        <v>710</v>
      </c>
      <c r="B1911" s="106" t="s">
        <v>1127</v>
      </c>
    </row>
    <row r="1912" spans="1:2">
      <c r="A1912" s="103">
        <v>800</v>
      </c>
      <c r="B1912" s="106" t="s">
        <v>1128</v>
      </c>
    </row>
    <row r="1913" spans="1:2">
      <c r="A1913" s="103">
        <v>810</v>
      </c>
      <c r="B1913" s="106" t="s">
        <v>1129</v>
      </c>
    </row>
    <row r="1914" spans="1:2">
      <c r="A1914" s="103">
        <v>820</v>
      </c>
      <c r="B1914" s="106" t="s">
        <v>1130</v>
      </c>
    </row>
    <row r="1915" spans="1:2">
      <c r="A1915" s="103">
        <v>821</v>
      </c>
      <c r="B1915" s="106" t="s">
        <v>1131</v>
      </c>
    </row>
    <row r="1916" spans="1:2">
      <c r="A1916" s="103">
        <v>822</v>
      </c>
      <c r="B1916" s="106" t="s">
        <v>1132</v>
      </c>
    </row>
    <row r="1917" spans="1:2">
      <c r="A1917" s="103">
        <v>823</v>
      </c>
      <c r="B1917" s="106" t="s">
        <v>1133</v>
      </c>
    </row>
    <row r="1918" spans="1:2">
      <c r="A1918" s="103">
        <v>830</v>
      </c>
      <c r="B1918" s="106" t="s">
        <v>1169</v>
      </c>
    </row>
    <row r="1919" spans="1:2" ht="38.25">
      <c r="A1919" s="103">
        <v>831</v>
      </c>
      <c r="B1919" s="107" t="s">
        <v>1170</v>
      </c>
    </row>
    <row r="1920" spans="1:2" ht="51">
      <c r="A1920" s="103">
        <v>832</v>
      </c>
      <c r="B1920" s="107" t="s">
        <v>1171</v>
      </c>
    </row>
    <row r="1921" spans="1:2">
      <c r="A1921" s="103">
        <v>833</v>
      </c>
      <c r="B1921" s="106" t="s">
        <v>1172</v>
      </c>
    </row>
    <row r="1922" spans="1:2" ht="25.5">
      <c r="A1922" s="103">
        <v>840</v>
      </c>
      <c r="B1922" s="106" t="s">
        <v>1173</v>
      </c>
    </row>
    <row r="1923" spans="1:2">
      <c r="A1923" s="103">
        <v>841</v>
      </c>
      <c r="B1923" s="106" t="s">
        <v>1174</v>
      </c>
    </row>
    <row r="1924" spans="1:2">
      <c r="A1924" s="103">
        <v>850</v>
      </c>
      <c r="B1924" s="106" t="s">
        <v>1175</v>
      </c>
    </row>
    <row r="1925" spans="1:2">
      <c r="A1925" s="103">
        <v>851</v>
      </c>
      <c r="B1925" s="106" t="s">
        <v>1176</v>
      </c>
    </row>
    <row r="1926" spans="1:2" ht="12.75" customHeight="1">
      <c r="A1926" s="103">
        <v>852</v>
      </c>
      <c r="B1926" s="106" t="s">
        <v>1177</v>
      </c>
    </row>
    <row r="1927" spans="1:2">
      <c r="A1927" s="103">
        <v>860</v>
      </c>
      <c r="B1927" s="106" t="s">
        <v>1716</v>
      </c>
    </row>
    <row r="1928" spans="1:2">
      <c r="A1928" s="103">
        <v>861</v>
      </c>
      <c r="B1928" s="106" t="s">
        <v>1717</v>
      </c>
    </row>
    <row r="1929" spans="1:2">
      <c r="A1929" s="103">
        <v>862</v>
      </c>
      <c r="B1929" s="106" t="s">
        <v>1718</v>
      </c>
    </row>
    <row r="1930" spans="1:2">
      <c r="A1930" s="103">
        <v>863</v>
      </c>
      <c r="B1930" s="106" t="s">
        <v>1719</v>
      </c>
    </row>
    <row r="1931" spans="1:2">
      <c r="A1931" s="103">
        <v>870</v>
      </c>
      <c r="B1931" s="106" t="s">
        <v>1720</v>
      </c>
    </row>
    <row r="1932" spans="1:2">
      <c r="A1932" s="103">
        <v>880</v>
      </c>
      <c r="B1932" s="106" t="s">
        <v>1721</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5</vt:i4>
      </vt:variant>
    </vt:vector>
  </HeadingPairs>
  <TitlesOfParts>
    <vt:vector size="21" baseType="lpstr">
      <vt:lpstr>Пр1</vt:lpstr>
      <vt:lpstr>Пр2</vt:lpstr>
      <vt:lpstr>Пр3</vt:lpstr>
      <vt:lpstr>Пр4</vt:lpstr>
      <vt:lpstr>Пр5</vt:lpstr>
      <vt:lpstr>КВСР</vt:lpstr>
      <vt:lpstr>КФСР</vt:lpstr>
      <vt:lpstr>КЦСР</vt:lpstr>
      <vt:lpstr>КВР</vt:lpstr>
      <vt:lpstr>Пр_6</vt:lpstr>
      <vt:lpstr>Пр 7</vt:lpstr>
      <vt:lpstr>Пр_8</vt:lpstr>
      <vt:lpstr>Пр_9</vt:lpstr>
      <vt:lpstr>Пр_10</vt:lpstr>
      <vt:lpstr>Пр_11</vt:lpstr>
      <vt:lpstr>Числ</vt:lpstr>
      <vt:lpstr>КВР!Область_печати</vt:lpstr>
      <vt:lpstr>КВСР!Область_печати</vt:lpstr>
      <vt:lpstr>КФСР!Область_печати</vt:lpstr>
      <vt:lpstr>КЦСР!Область_печати</vt:lpstr>
      <vt:lpstr>Пр4!Область_печати</vt:lpstr>
    </vt:vector>
  </TitlesOfParts>
  <Manager>Минин А.А.</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2012 года</dc:title>
  <dc:subject>Бюджет 2012 года</dc:subject>
  <dc:creator>Мохов М.Н.</dc:creator>
  <cp:lastModifiedBy>Савичев</cp:lastModifiedBy>
  <cp:lastPrinted>2014-04-03T05:54:06Z</cp:lastPrinted>
  <dcterms:created xsi:type="dcterms:W3CDTF">2004-11-16T05:58:34Z</dcterms:created>
  <dcterms:modified xsi:type="dcterms:W3CDTF">2014-05-21T06:08:42Z</dcterms:modified>
</cp:coreProperties>
</file>