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82" i="1"/>
  <c r="P82"/>
  <c r="P81"/>
  <c r="Q75"/>
  <c r="P75"/>
  <c r="Q71"/>
  <c r="P71"/>
  <c r="P64"/>
  <c r="Q57"/>
  <c r="P57"/>
  <c r="P50"/>
  <c r="Q43"/>
  <c r="P43"/>
  <c r="P36"/>
  <c r="P29"/>
  <c r="Q22"/>
  <c r="P22"/>
  <c r="Q8"/>
  <c r="P8"/>
  <c r="F80"/>
  <c r="E80"/>
  <c r="D80"/>
  <c r="G79"/>
  <c r="F79"/>
  <c r="E79"/>
  <c r="D79"/>
  <c r="G78"/>
  <c r="F78"/>
  <c r="E78"/>
  <c r="D78"/>
  <c r="G77"/>
  <c r="F77"/>
  <c r="E77"/>
  <c r="D77"/>
  <c r="F76"/>
  <c r="E76"/>
  <c r="D76"/>
  <c r="E73"/>
  <c r="D73"/>
  <c r="O71"/>
  <c r="N71"/>
  <c r="M71"/>
  <c r="L71"/>
  <c r="K71"/>
  <c r="J71"/>
  <c r="I71"/>
  <c r="H71"/>
  <c r="G71"/>
  <c r="F71"/>
  <c r="O64"/>
  <c r="N64"/>
  <c r="M64"/>
  <c r="L64"/>
  <c r="K64"/>
  <c r="J64"/>
  <c r="I64"/>
  <c r="H64"/>
  <c r="G64"/>
  <c r="F64"/>
  <c r="E64"/>
  <c r="J63"/>
  <c r="H63"/>
  <c r="M59"/>
  <c r="M57" s="1"/>
  <c r="L59"/>
  <c r="K59"/>
  <c r="K57" s="1"/>
  <c r="J59"/>
  <c r="I59"/>
  <c r="I57" s="1"/>
  <c r="H59"/>
  <c r="G59"/>
  <c r="G57" s="1"/>
  <c r="O57"/>
  <c r="N57"/>
  <c r="L57"/>
  <c r="J57"/>
  <c r="H57"/>
  <c r="F57"/>
  <c r="E57"/>
  <c r="O50"/>
  <c r="N50"/>
  <c r="M50"/>
  <c r="L50"/>
  <c r="K50"/>
  <c r="J50"/>
  <c r="I50"/>
  <c r="H50"/>
  <c r="G50"/>
  <c r="F50"/>
  <c r="E50"/>
  <c r="M48"/>
  <c r="L48"/>
  <c r="K48"/>
  <c r="J48"/>
  <c r="I48"/>
  <c r="H48"/>
  <c r="O45"/>
  <c r="N45"/>
  <c r="L45"/>
  <c r="J45"/>
  <c r="I45"/>
  <c r="H45"/>
  <c r="O43"/>
  <c r="N43"/>
  <c r="M43"/>
  <c r="L43"/>
  <c r="K43"/>
  <c r="J43"/>
  <c r="I43"/>
  <c r="H43"/>
  <c r="G43"/>
  <c r="F43"/>
  <c r="L40"/>
  <c r="J40"/>
  <c r="H40"/>
  <c r="L39"/>
  <c r="J39"/>
  <c r="H39"/>
  <c r="N38"/>
  <c r="L38"/>
  <c r="L36" s="1"/>
  <c r="J38"/>
  <c r="H38"/>
  <c r="O36"/>
  <c r="N36"/>
  <c r="M36"/>
  <c r="K36"/>
  <c r="J36"/>
  <c r="I36"/>
  <c r="H36"/>
  <c r="G36"/>
  <c r="F36"/>
  <c r="E36"/>
  <c r="O29"/>
  <c r="N29"/>
  <c r="M29"/>
  <c r="L29"/>
  <c r="K29"/>
  <c r="J29"/>
  <c r="I29"/>
  <c r="H29"/>
  <c r="G29"/>
  <c r="F29"/>
  <c r="E29"/>
  <c r="O27"/>
  <c r="O22" s="1"/>
  <c r="N27"/>
  <c r="M27"/>
  <c r="M22" s="1"/>
  <c r="L27"/>
  <c r="K27"/>
  <c r="K22" s="1"/>
  <c r="J27"/>
  <c r="I27"/>
  <c r="I22" s="1"/>
  <c r="H27"/>
  <c r="G24"/>
  <c r="G76" s="1"/>
  <c r="N22"/>
  <c r="L22"/>
  <c r="J22"/>
  <c r="H22"/>
  <c r="F22"/>
  <c r="O15"/>
  <c r="N15"/>
  <c r="M15"/>
  <c r="L15"/>
  <c r="K15"/>
  <c r="J15"/>
  <c r="I15"/>
  <c r="H15"/>
  <c r="G15"/>
  <c r="F15"/>
  <c r="E15"/>
  <c r="E75" s="1"/>
  <c r="E82" s="1"/>
  <c r="E85" s="1"/>
  <c r="D15"/>
  <c r="D75" s="1"/>
  <c r="D82" s="1"/>
  <c r="D85" s="1"/>
  <c r="G14"/>
  <c r="G80" s="1"/>
  <c r="N10"/>
  <c r="L10"/>
  <c r="J10"/>
  <c r="H10"/>
  <c r="O8"/>
  <c r="O75" s="1"/>
  <c r="N8"/>
  <c r="N75" s="1"/>
  <c r="M8"/>
  <c r="M75" s="1"/>
  <c r="M82" s="1"/>
  <c r="L8"/>
  <c r="L75" s="1"/>
  <c r="L82" s="1"/>
  <c r="K8"/>
  <c r="K75" s="1"/>
  <c r="K82" s="1"/>
  <c r="J8"/>
  <c r="J75" s="1"/>
  <c r="J82" s="1"/>
  <c r="I8"/>
  <c r="I75" s="1"/>
  <c r="I82" s="1"/>
  <c r="H8"/>
  <c r="H75" s="1"/>
  <c r="H82" s="1"/>
  <c r="F8"/>
  <c r="F75" s="1"/>
  <c r="F82" s="1"/>
  <c r="N82" l="1"/>
  <c r="O82"/>
  <c r="G8"/>
  <c r="G22"/>
  <c r="G75" l="1"/>
  <c r="G82" s="1"/>
</calcChain>
</file>

<file path=xl/comments1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<sst xmlns="http://schemas.openxmlformats.org/spreadsheetml/2006/main" count="91" uniqueCount="35">
  <si>
    <t xml:space="preserve">Свод по кредиторской задолженности </t>
  </si>
  <si>
    <t>Учреждения</t>
  </si>
  <si>
    <t>01.01.2012</t>
  </si>
  <si>
    <t>01.01.2013</t>
  </si>
  <si>
    <t>01.02.2013</t>
  </si>
  <si>
    <t>01.03.2013</t>
  </si>
  <si>
    <t>01.04.2013</t>
  </si>
  <si>
    <t>01.05.2013</t>
  </si>
  <si>
    <t>% роста к предыдущ. мес.</t>
  </si>
  <si>
    <t>текущая</t>
  </si>
  <si>
    <t>просро-  ченная</t>
  </si>
  <si>
    <t xml:space="preserve">текущая </t>
  </si>
  <si>
    <t>просро- ченная</t>
  </si>
  <si>
    <t>Администрация</t>
  </si>
  <si>
    <t>в том числе по поставщикам и подрядчикам</t>
  </si>
  <si>
    <t>по оплате труда</t>
  </si>
  <si>
    <t>по государственным внебюджетным фондам</t>
  </si>
  <si>
    <t>по налогам и сборам</t>
  </si>
  <si>
    <t xml:space="preserve">по прочим кредитор. </t>
  </si>
  <si>
    <t>Департамент имущества</t>
  </si>
  <si>
    <t>Департамент образования</t>
  </si>
  <si>
    <t>Департамент финансов</t>
  </si>
  <si>
    <t>Департамент труда           (в т.ч. Милосердие)</t>
  </si>
  <si>
    <t>Департамент культуры      (в т.ч. Галактика , Берега)</t>
  </si>
  <si>
    <t>Департамент АПК</t>
  </si>
  <si>
    <t xml:space="preserve">Департамент ЖКХ             (в т.ч. ОСКР)     </t>
  </si>
  <si>
    <t>МУ"Контрольно-счетная палата"</t>
  </si>
  <si>
    <t>Сельские территории</t>
  </si>
  <si>
    <t>ЦРБ, КРБ</t>
  </si>
  <si>
    <t>ИТОГО</t>
  </si>
  <si>
    <t>Муниципальный долг</t>
  </si>
  <si>
    <t>ВСЕГО</t>
  </si>
  <si>
    <t>Справочно:</t>
  </si>
  <si>
    <t>Задолженность по бюджету на 01.01.2012</t>
  </si>
  <si>
    <t>Задолженность по предпринимательской деятельности на 01.01.2012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</si>
</sst>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0" xfId="0" applyNumberFormat="1" applyBorder="1" applyAlignment="1">
      <alignment horizontal="right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2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10" fontId="2" fillId="0" borderId="8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0" borderId="8" xfId="0" applyNumberFormat="1" applyFont="1" applyBorder="1"/>
    <xf numFmtId="43" fontId="2" fillId="0" borderId="0" xfId="1" applyFont="1" applyAlignment="1">
      <alignment horizontal="left" indent="2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" fontId="0" fillId="0" borderId="8" xfId="0" applyNumberFormat="1" applyBorder="1"/>
    <xf numFmtId="0" fontId="0" fillId="0" borderId="8" xfId="0" applyBorder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88"/>
  <sheetViews>
    <sheetView tabSelected="1" topLeftCell="B53" zoomScale="85" zoomScaleNormal="85" workbookViewId="0">
      <selection activeCell="Q91" sqref="Q91"/>
    </sheetView>
  </sheetViews>
  <sheetFormatPr defaultRowHeight="15"/>
  <cols>
    <col min="1" max="1" width="0" hidden="1" customWidth="1"/>
    <col min="3" max="3" width="10" customWidth="1"/>
    <col min="4" max="4" width="13.7109375" customWidth="1"/>
    <col min="5" max="5" width="14.140625" customWidth="1"/>
    <col min="6" max="6" width="15.28515625" customWidth="1"/>
    <col min="7" max="7" width="15" customWidth="1"/>
    <col min="8" max="10" width="15" hidden="1" customWidth="1"/>
    <col min="11" max="11" width="14.85546875" hidden="1" customWidth="1"/>
    <col min="12" max="15" width="15" hidden="1" customWidth="1"/>
    <col min="16" max="16" width="9.7109375" customWidth="1"/>
    <col min="17" max="17" width="9.140625" customWidth="1"/>
  </cols>
  <sheetData>
    <row r="1" spans="2:17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7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7">
      <c r="B5" s="3" t="s">
        <v>1</v>
      </c>
      <c r="C5" s="4"/>
      <c r="D5" s="5" t="s">
        <v>2</v>
      </c>
      <c r="E5" s="6"/>
      <c r="F5" s="5" t="s">
        <v>3</v>
      </c>
      <c r="G5" s="6"/>
      <c r="H5" s="5" t="s">
        <v>4</v>
      </c>
      <c r="I5" s="6"/>
      <c r="J5" s="5" t="s">
        <v>5</v>
      </c>
      <c r="K5" s="6"/>
      <c r="L5" s="5" t="s">
        <v>6</v>
      </c>
      <c r="M5" s="6"/>
      <c r="N5" s="5" t="s">
        <v>7</v>
      </c>
      <c r="O5" s="6"/>
      <c r="P5" s="7" t="s">
        <v>8</v>
      </c>
      <c r="Q5" s="8"/>
    </row>
    <row r="6" spans="2:17">
      <c r="B6" s="9"/>
      <c r="C6" s="10"/>
      <c r="D6" s="11"/>
      <c r="E6" s="12"/>
      <c r="F6" s="11"/>
      <c r="G6" s="12"/>
      <c r="H6" s="11"/>
      <c r="I6" s="12"/>
      <c r="J6" s="11"/>
      <c r="K6" s="12"/>
      <c r="L6" s="11"/>
      <c r="M6" s="12"/>
      <c r="N6" s="11"/>
      <c r="O6" s="12"/>
      <c r="P6" s="13"/>
      <c r="Q6" s="14"/>
    </row>
    <row r="7" spans="2:17" ht="30">
      <c r="B7" s="15"/>
      <c r="C7" s="16"/>
      <c r="D7" s="17" t="s">
        <v>9</v>
      </c>
      <c r="E7" s="17" t="s">
        <v>10</v>
      </c>
      <c r="F7" s="17" t="s">
        <v>9</v>
      </c>
      <c r="G7" s="17" t="s">
        <v>10</v>
      </c>
      <c r="H7" s="17" t="s">
        <v>9</v>
      </c>
      <c r="I7" s="17" t="s">
        <v>10</v>
      </c>
      <c r="J7" s="17" t="s">
        <v>9</v>
      </c>
      <c r="K7" s="17" t="s">
        <v>10</v>
      </c>
      <c r="L7" s="17" t="s">
        <v>9</v>
      </c>
      <c r="M7" s="17" t="s">
        <v>10</v>
      </c>
      <c r="N7" s="17" t="s">
        <v>9</v>
      </c>
      <c r="O7" s="17" t="s">
        <v>10</v>
      </c>
      <c r="P7" s="17" t="s">
        <v>11</v>
      </c>
      <c r="Q7" s="17" t="s">
        <v>12</v>
      </c>
    </row>
    <row r="8" spans="2:17">
      <c r="B8" s="18" t="s">
        <v>13</v>
      </c>
      <c r="C8" s="19"/>
      <c r="D8" s="20">
        <v>4339281.38</v>
      </c>
      <c r="E8" s="20">
        <v>301680.46000000002</v>
      </c>
      <c r="F8" s="20">
        <f t="shared" ref="F8:G8" si="0">SUM(F10:F14)</f>
        <v>1585306.45</v>
      </c>
      <c r="G8" s="20">
        <f t="shared" si="0"/>
        <v>1801203.7999999998</v>
      </c>
      <c r="H8" s="20">
        <f t="shared" ref="H8:O8" si="1">SUM(H10:H14)</f>
        <v>1880710.93</v>
      </c>
      <c r="I8" s="20">
        <f t="shared" si="1"/>
        <v>1726285.8</v>
      </c>
      <c r="J8" s="20">
        <f t="shared" si="1"/>
        <v>2043940.37</v>
      </c>
      <c r="K8" s="20">
        <f t="shared" si="1"/>
        <v>1726285.8</v>
      </c>
      <c r="L8" s="20">
        <f t="shared" si="1"/>
        <v>1800545.93</v>
      </c>
      <c r="M8" s="20">
        <f t="shared" si="1"/>
        <v>1726285.8</v>
      </c>
      <c r="N8" s="20">
        <f t="shared" si="1"/>
        <v>1791783.17</v>
      </c>
      <c r="O8" s="20">
        <f t="shared" si="1"/>
        <v>1726285.8</v>
      </c>
      <c r="P8" s="21">
        <f>F8/D8-1</f>
        <v>-0.63466152314833291</v>
      </c>
      <c r="Q8" s="21">
        <f>G8/E8-1</f>
        <v>4.9705683291519769</v>
      </c>
    </row>
    <row r="9" spans="2:17"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</row>
    <row r="10" spans="2:17">
      <c r="B10" s="26" t="s">
        <v>14</v>
      </c>
      <c r="C10" s="27"/>
      <c r="D10" s="28"/>
      <c r="E10" s="28"/>
      <c r="F10" s="28"/>
      <c r="G10" s="28"/>
      <c r="H10" s="28">
        <f>1880710.93-1726285.8</f>
        <v>154425.12999999989</v>
      </c>
      <c r="I10" s="28"/>
      <c r="J10" s="28">
        <f>2043940.37-1726285.8</f>
        <v>317654.57000000007</v>
      </c>
      <c r="K10" s="28"/>
      <c r="L10" s="28">
        <f>1800545.93-1726285.8</f>
        <v>74260.129999999888</v>
      </c>
      <c r="M10" s="28"/>
      <c r="N10" s="28">
        <f>1791783.17-1726285.8</f>
        <v>65497.369999999879</v>
      </c>
      <c r="O10" s="28"/>
      <c r="P10" s="29"/>
      <c r="Q10" s="29"/>
    </row>
    <row r="11" spans="2:17">
      <c r="B11" s="30" t="s">
        <v>15</v>
      </c>
      <c r="C11" s="3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29"/>
    </row>
    <row r="12" spans="2:17">
      <c r="B12" s="26" t="s">
        <v>16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9"/>
      <c r="Q12" s="29"/>
    </row>
    <row r="13" spans="2:17">
      <c r="B13" s="30" t="s">
        <v>17</v>
      </c>
      <c r="C13" s="31"/>
      <c r="D13" s="28"/>
      <c r="E13" s="28"/>
      <c r="F13" s="28">
        <v>74918</v>
      </c>
      <c r="G13" s="28">
        <v>74918</v>
      </c>
      <c r="H13" s="28"/>
      <c r="I13" s="28"/>
      <c r="J13" s="28"/>
      <c r="K13" s="28"/>
      <c r="L13" s="28"/>
      <c r="M13" s="28"/>
      <c r="N13" s="28"/>
      <c r="O13" s="28"/>
      <c r="P13" s="29"/>
      <c r="Q13" s="29"/>
    </row>
    <row r="14" spans="2:17">
      <c r="B14" s="30" t="s">
        <v>18</v>
      </c>
      <c r="C14" s="31"/>
      <c r="D14" s="28"/>
      <c r="E14" s="28"/>
      <c r="F14" s="28">
        <v>1510388.45</v>
      </c>
      <c r="G14" s="28">
        <f>169005.65+1557280.15</f>
        <v>1726285.7999999998</v>
      </c>
      <c r="H14" s="28">
        <v>1726285.8</v>
      </c>
      <c r="I14" s="28">
        <v>1726285.8</v>
      </c>
      <c r="J14" s="28">
        <v>1726285.8</v>
      </c>
      <c r="K14" s="28">
        <v>1726285.8</v>
      </c>
      <c r="L14" s="28">
        <v>1726285.8</v>
      </c>
      <c r="M14" s="28">
        <v>1726285.8</v>
      </c>
      <c r="N14" s="28">
        <v>1726285.8</v>
      </c>
      <c r="O14" s="28">
        <v>1726285.8</v>
      </c>
      <c r="P14" s="29"/>
      <c r="Q14" s="29"/>
    </row>
    <row r="15" spans="2:17">
      <c r="B15" s="32" t="s">
        <v>19</v>
      </c>
      <c r="C15" s="33"/>
      <c r="D15" s="34">
        <f t="shared" ref="D15:E15" si="2">SUM(D17:D21)</f>
        <v>0</v>
      </c>
      <c r="E15" s="34">
        <f t="shared" si="2"/>
        <v>0</v>
      </c>
      <c r="F15" s="34">
        <f t="shared" ref="F15:O15" si="3">SUM(F17:F21)</f>
        <v>35747.5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120756.41</v>
      </c>
      <c r="M15" s="34">
        <f t="shared" si="3"/>
        <v>0</v>
      </c>
      <c r="N15" s="34">
        <f t="shared" si="3"/>
        <v>144077.24</v>
      </c>
      <c r="O15" s="34">
        <f t="shared" si="3"/>
        <v>0</v>
      </c>
      <c r="P15" s="21">
        <v>1</v>
      </c>
      <c r="Q15" s="21">
        <v>0</v>
      </c>
    </row>
    <row r="16" spans="2:17">
      <c r="B16" s="35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25"/>
      <c r="Q16" s="25"/>
    </row>
    <row r="17" spans="2:17">
      <c r="B17" s="26" t="s">
        <v>14</v>
      </c>
      <c r="C17" s="27"/>
      <c r="D17" s="38"/>
      <c r="E17" s="38"/>
      <c r="F17" s="38">
        <v>35747.5</v>
      </c>
      <c r="G17" s="38"/>
      <c r="H17" s="38"/>
      <c r="I17" s="38"/>
      <c r="J17" s="38"/>
      <c r="K17" s="38"/>
      <c r="L17" s="38">
        <v>120756.41</v>
      </c>
      <c r="M17" s="38"/>
      <c r="N17" s="38">
        <v>144077.24</v>
      </c>
      <c r="O17" s="38"/>
      <c r="P17" s="17"/>
      <c r="Q17" s="17"/>
    </row>
    <row r="18" spans="2:17">
      <c r="B18" s="30" t="s">
        <v>15</v>
      </c>
      <c r="C18" s="31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17"/>
      <c r="Q18" s="17"/>
    </row>
    <row r="19" spans="2:17">
      <c r="B19" s="26" t="s">
        <v>16</v>
      </c>
      <c r="C19" s="2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17"/>
      <c r="Q19" s="17"/>
    </row>
    <row r="20" spans="2:17">
      <c r="B20" s="30" t="s">
        <v>17</v>
      </c>
      <c r="C20" s="31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17"/>
      <c r="Q20" s="17"/>
    </row>
    <row r="21" spans="2:17">
      <c r="B21" s="30" t="s">
        <v>18</v>
      </c>
      <c r="C21" s="31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17"/>
      <c r="Q21" s="17"/>
    </row>
    <row r="22" spans="2:17">
      <c r="B22" s="32" t="s">
        <v>20</v>
      </c>
      <c r="C22" s="33"/>
      <c r="D22" s="34">
        <v>54846675.530000001</v>
      </c>
      <c r="E22" s="34">
        <v>48940486.590000004</v>
      </c>
      <c r="F22" s="34">
        <f t="shared" ref="F22" si="4">SUM(F24:F28)</f>
        <v>64656891.350000001</v>
      </c>
      <c r="G22" s="34">
        <f>SUM(G24:G28)</f>
        <v>51440732.669999994</v>
      </c>
      <c r="H22" s="34">
        <f t="shared" ref="H22:O22" si="5">SUM(H24:H28)</f>
        <v>69207433.140000001</v>
      </c>
      <c r="I22" s="34">
        <f t="shared" si="5"/>
        <v>50454846.649999999</v>
      </c>
      <c r="J22" s="34">
        <f t="shared" si="5"/>
        <v>70742852.230000004</v>
      </c>
      <c r="K22" s="34">
        <f t="shared" si="5"/>
        <v>55024116.890000001</v>
      </c>
      <c r="L22" s="34">
        <f t="shared" si="5"/>
        <v>70605066.099999994</v>
      </c>
      <c r="M22" s="34">
        <f t="shared" si="5"/>
        <v>57943952.730000004</v>
      </c>
      <c r="N22" s="34">
        <f t="shared" si="5"/>
        <v>73371785.549999997</v>
      </c>
      <c r="O22" s="34">
        <f t="shared" si="5"/>
        <v>57519633.82</v>
      </c>
      <c r="P22" s="21">
        <f>F22/D22-1</f>
        <v>0.17886618879268279</v>
      </c>
      <c r="Q22" s="21">
        <f>G22/E22-1</f>
        <v>5.108747898127497E-2</v>
      </c>
    </row>
    <row r="23" spans="2:17">
      <c r="B23" s="35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25"/>
      <c r="Q23" s="25"/>
    </row>
    <row r="24" spans="2:17">
      <c r="B24" s="26" t="s">
        <v>14</v>
      </c>
      <c r="C24" s="27"/>
      <c r="D24" s="38"/>
      <c r="E24" s="38"/>
      <c r="F24" s="38">
        <v>10110055.9</v>
      </c>
      <c r="G24" s="38">
        <f>51442088.62-49312861.59</f>
        <v>2129227.0299999937</v>
      </c>
      <c r="H24" s="38">
        <v>10146692.35</v>
      </c>
      <c r="I24" s="38">
        <v>2129227.0299999998</v>
      </c>
      <c r="J24" s="38">
        <v>14616479.76</v>
      </c>
      <c r="K24" s="38">
        <v>2129227.0299999998</v>
      </c>
      <c r="L24" s="38">
        <v>7843217.96</v>
      </c>
      <c r="M24" s="38">
        <v>2129227.0299999998</v>
      </c>
      <c r="N24" s="38">
        <v>7533070</v>
      </c>
      <c r="O24" s="38">
        <v>2129227.0299999998</v>
      </c>
      <c r="P24" s="17"/>
      <c r="Q24" s="17"/>
    </row>
    <row r="25" spans="2:17">
      <c r="B25" s="30" t="s">
        <v>15</v>
      </c>
      <c r="C25" s="31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17"/>
      <c r="Q25" s="17"/>
    </row>
    <row r="26" spans="2:17">
      <c r="B26" s="26" t="s">
        <v>16</v>
      </c>
      <c r="C26" s="27"/>
      <c r="D26" s="38"/>
      <c r="E26" s="38"/>
      <c r="F26" s="38">
        <v>4317281.3899999997</v>
      </c>
      <c r="G26" s="38"/>
      <c r="H26" s="38"/>
      <c r="I26" s="38"/>
      <c r="J26" s="38"/>
      <c r="K26" s="38"/>
      <c r="L26" s="38"/>
      <c r="M26" s="38"/>
      <c r="N26" s="38"/>
      <c r="O26" s="38"/>
      <c r="P26" s="17"/>
      <c r="Q26" s="17"/>
    </row>
    <row r="27" spans="2:17">
      <c r="B27" s="30" t="s">
        <v>17</v>
      </c>
      <c r="C27" s="31"/>
      <c r="D27" s="38"/>
      <c r="E27" s="38"/>
      <c r="F27" s="38">
        <v>50229554.060000002</v>
      </c>
      <c r="G27" s="38">
        <v>49311505.640000001</v>
      </c>
      <c r="H27" s="38">
        <f>54914409.14+4146331.65</f>
        <v>59060740.789999999</v>
      </c>
      <c r="I27" s="38">
        <f>4092516+44233103.62</f>
        <v>48325619.619999997</v>
      </c>
      <c r="J27" s="38">
        <f>4125519+52000853.47</f>
        <v>56126372.469999999</v>
      </c>
      <c r="K27" s="38">
        <f>4092516+48802373.86</f>
        <v>52894889.859999999</v>
      </c>
      <c r="L27" s="38">
        <f>4106722+58655126.14</f>
        <v>62761848.140000001</v>
      </c>
      <c r="M27" s="38">
        <f>4092516+51722209.7</f>
        <v>55814725.700000003</v>
      </c>
      <c r="N27" s="38">
        <f>3726327.65+62112387.9</f>
        <v>65838715.549999997</v>
      </c>
      <c r="O27" s="38">
        <f>51679075.14+3711331.65</f>
        <v>55390406.789999999</v>
      </c>
      <c r="P27" s="17"/>
      <c r="Q27" s="17"/>
    </row>
    <row r="28" spans="2:17">
      <c r="B28" s="30" t="s">
        <v>18</v>
      </c>
      <c r="C28" s="31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17"/>
      <c r="Q28" s="17"/>
    </row>
    <row r="29" spans="2:17">
      <c r="B29" s="32" t="s">
        <v>21</v>
      </c>
      <c r="C29" s="33"/>
      <c r="D29" s="34">
        <v>-7680.14</v>
      </c>
      <c r="E29" s="34">
        <f t="shared" ref="E29" si="6">SUM(E31:E35)</f>
        <v>0</v>
      </c>
      <c r="F29" s="34">
        <f t="shared" ref="F29:O29" si="7">SUM(F31:F35)</f>
        <v>0</v>
      </c>
      <c r="G29" s="34">
        <f t="shared" si="7"/>
        <v>0</v>
      </c>
      <c r="H29" s="34">
        <f t="shared" si="7"/>
        <v>114426.95</v>
      </c>
      <c r="I29" s="34">
        <f t="shared" si="7"/>
        <v>0</v>
      </c>
      <c r="J29" s="34">
        <f t="shared" si="7"/>
        <v>88290.77</v>
      </c>
      <c r="K29" s="34">
        <f t="shared" si="7"/>
        <v>0</v>
      </c>
      <c r="L29" s="34">
        <f t="shared" si="7"/>
        <v>51440.42</v>
      </c>
      <c r="M29" s="34">
        <f t="shared" si="7"/>
        <v>0</v>
      </c>
      <c r="N29" s="34">
        <f t="shared" si="7"/>
        <v>169857.58</v>
      </c>
      <c r="O29" s="34">
        <f t="shared" si="7"/>
        <v>0</v>
      </c>
      <c r="P29" s="21">
        <f>F29/D29-1</f>
        <v>-1</v>
      </c>
      <c r="Q29" s="21">
        <v>0</v>
      </c>
    </row>
    <row r="30" spans="2:17"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25"/>
      <c r="Q30" s="25"/>
    </row>
    <row r="31" spans="2:17">
      <c r="B31" s="26" t="s">
        <v>14</v>
      </c>
      <c r="C31" s="27"/>
      <c r="D31" s="38">
        <v>0</v>
      </c>
      <c r="E31" s="38"/>
      <c r="F31" s="38">
        <v>0</v>
      </c>
      <c r="G31" s="38"/>
      <c r="H31" s="38">
        <v>114426.95</v>
      </c>
      <c r="I31" s="38"/>
      <c r="J31" s="38">
        <v>88290.77</v>
      </c>
      <c r="K31" s="38"/>
      <c r="L31" s="38">
        <v>51440.42</v>
      </c>
      <c r="M31" s="38"/>
      <c r="N31" s="38">
        <v>169857.58</v>
      </c>
      <c r="O31" s="38"/>
      <c r="P31" s="17"/>
      <c r="Q31" s="17"/>
    </row>
    <row r="32" spans="2:17">
      <c r="B32" s="30" t="s">
        <v>15</v>
      </c>
      <c r="C32" s="31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17"/>
      <c r="Q32" s="17"/>
    </row>
    <row r="33" spans="2:17">
      <c r="B33" s="26" t="s">
        <v>16</v>
      </c>
      <c r="C33" s="27"/>
      <c r="D33" s="38">
        <v>0</v>
      </c>
      <c r="E33" s="38"/>
      <c r="F33" s="38"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17"/>
      <c r="Q33" s="17"/>
    </row>
    <row r="34" spans="2:17">
      <c r="B34" s="30" t="s">
        <v>17</v>
      </c>
      <c r="C34" s="31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17"/>
      <c r="Q34" s="17"/>
    </row>
    <row r="35" spans="2:17">
      <c r="B35" s="30" t="s">
        <v>18</v>
      </c>
      <c r="C35" s="31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17"/>
      <c r="Q35" s="17"/>
    </row>
    <row r="36" spans="2:17">
      <c r="B36" s="32" t="s">
        <v>22</v>
      </c>
      <c r="C36" s="33"/>
      <c r="D36" s="34">
        <v>24738.76</v>
      </c>
      <c r="E36" s="34">
        <f t="shared" ref="E36:G36" si="8">SUM(E38:E42)</f>
        <v>0</v>
      </c>
      <c r="F36" s="34">
        <f t="shared" si="8"/>
        <v>162585.41</v>
      </c>
      <c r="G36" s="34">
        <f t="shared" si="8"/>
        <v>0</v>
      </c>
      <c r="H36" s="34">
        <f t="shared" ref="H36:O36" si="9">SUM(H38:H42)</f>
        <v>2836261.8599999994</v>
      </c>
      <c r="I36" s="34">
        <f t="shared" si="9"/>
        <v>179639.45</v>
      </c>
      <c r="J36" s="34">
        <f t="shared" si="9"/>
        <v>2968161.5</v>
      </c>
      <c r="K36" s="34">
        <f t="shared" si="9"/>
        <v>179639.45</v>
      </c>
      <c r="L36" s="34">
        <f t="shared" si="9"/>
        <v>3579888.6599999997</v>
      </c>
      <c r="M36" s="34">
        <f t="shared" si="9"/>
        <v>179639.45</v>
      </c>
      <c r="N36" s="34">
        <f t="shared" si="9"/>
        <v>2288254.44</v>
      </c>
      <c r="O36" s="34">
        <f t="shared" si="9"/>
        <v>179639.45</v>
      </c>
      <c r="P36" s="21">
        <f>F36/D36-1</f>
        <v>5.5720921339630607</v>
      </c>
      <c r="Q36" s="21">
        <v>0</v>
      </c>
    </row>
    <row r="37" spans="2:17"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25"/>
      <c r="Q37" s="25"/>
    </row>
    <row r="38" spans="2:17">
      <c r="B38" s="26" t="s">
        <v>14</v>
      </c>
      <c r="C38" s="27"/>
      <c r="D38" s="38"/>
      <c r="E38" s="38"/>
      <c r="F38" s="38">
        <v>162585.41</v>
      </c>
      <c r="G38" s="38"/>
      <c r="H38" s="38">
        <f>410855.69+138863.03</f>
        <v>549718.72</v>
      </c>
      <c r="I38" s="38">
        <v>179639.45</v>
      </c>
      <c r="J38" s="38">
        <f>349786.74+482870.23</f>
        <v>832656.97</v>
      </c>
      <c r="K38" s="38">
        <v>179639.45</v>
      </c>
      <c r="L38" s="38">
        <f>325550.4+256894.84</f>
        <v>582445.24</v>
      </c>
      <c r="M38" s="38">
        <v>179639.45</v>
      </c>
      <c r="N38" s="38">
        <f>32098.35+367708.31</f>
        <v>399806.66</v>
      </c>
      <c r="O38" s="38">
        <v>179639.45</v>
      </c>
      <c r="P38" s="17"/>
      <c r="Q38" s="17"/>
    </row>
    <row r="39" spans="2:17">
      <c r="B39" s="30" t="s">
        <v>15</v>
      </c>
      <c r="C39" s="31"/>
      <c r="D39" s="38"/>
      <c r="E39" s="38"/>
      <c r="F39" s="38"/>
      <c r="G39" s="38"/>
      <c r="H39" s="38">
        <f>1280106.96+331142.71</f>
        <v>1611249.67</v>
      </c>
      <c r="I39" s="38"/>
      <c r="J39" s="38">
        <f>1112706.33+292125.54</f>
        <v>1404831.87</v>
      </c>
      <c r="K39" s="38"/>
      <c r="L39" s="38">
        <f>1664826.89+424726.47</f>
        <v>2089553.3599999999</v>
      </c>
      <c r="M39" s="38"/>
      <c r="N39" s="38">
        <v>1291836.76</v>
      </c>
      <c r="O39" s="38"/>
      <c r="P39" s="17"/>
      <c r="Q39" s="17"/>
    </row>
    <row r="40" spans="2:17">
      <c r="B40" s="26" t="s">
        <v>16</v>
      </c>
      <c r="C40" s="27"/>
      <c r="D40" s="38"/>
      <c r="E40" s="38"/>
      <c r="F40" s="38"/>
      <c r="G40" s="38"/>
      <c r="H40" s="38">
        <f>191330.96+483962.51</f>
        <v>675293.47</v>
      </c>
      <c r="I40" s="38"/>
      <c r="J40" s="38">
        <f>171605.74+559066.92</f>
        <v>730672.66</v>
      </c>
      <c r="K40" s="38"/>
      <c r="L40" s="38">
        <f>209944.24+697945.82</f>
        <v>907890.05999999994</v>
      </c>
      <c r="M40" s="38"/>
      <c r="N40" s="38">
        <v>596611.02</v>
      </c>
      <c r="O40" s="38"/>
      <c r="P40" s="17"/>
      <c r="Q40" s="17"/>
    </row>
    <row r="41" spans="2:17">
      <c r="B41" s="30" t="s">
        <v>17</v>
      </c>
      <c r="C41" s="31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17"/>
      <c r="Q41" s="17"/>
    </row>
    <row r="42" spans="2:17">
      <c r="B42" s="30" t="s">
        <v>18</v>
      </c>
      <c r="C42" s="31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17"/>
      <c r="Q42" s="17"/>
    </row>
    <row r="43" spans="2:17">
      <c r="B43" s="32" t="s">
        <v>23</v>
      </c>
      <c r="C43" s="33"/>
      <c r="D43" s="34">
        <v>10765845.27</v>
      </c>
      <c r="E43" s="34">
        <v>7171240.7400000002</v>
      </c>
      <c r="F43" s="34">
        <f t="shared" ref="F43:G43" si="10">SUM(F45:F49)</f>
        <v>13066265.32</v>
      </c>
      <c r="G43" s="34">
        <f t="shared" si="10"/>
        <v>9363054.25</v>
      </c>
      <c r="H43" s="34">
        <f t="shared" ref="H43:O43" si="11">SUM(H45:H49)</f>
        <v>12452961.670000002</v>
      </c>
      <c r="I43" s="34">
        <f t="shared" si="11"/>
        <v>10697359.270000001</v>
      </c>
      <c r="J43" s="34">
        <f t="shared" si="11"/>
        <v>10509503.82</v>
      </c>
      <c r="K43" s="34">
        <f t="shared" si="11"/>
        <v>9311032.910000002</v>
      </c>
      <c r="L43" s="34">
        <f t="shared" si="11"/>
        <v>9816963.7700000014</v>
      </c>
      <c r="M43" s="34">
        <f t="shared" si="11"/>
        <v>9514146.0000000019</v>
      </c>
      <c r="N43" s="34">
        <f t="shared" si="11"/>
        <v>10491903.119999999</v>
      </c>
      <c r="O43" s="34">
        <f t="shared" si="11"/>
        <v>10223094.629999999</v>
      </c>
      <c r="P43" s="21">
        <f>F43/D43-1</f>
        <v>0.21367760657032009</v>
      </c>
      <c r="Q43" s="21">
        <f>G43/E43-1</f>
        <v>0.30563937113063644</v>
      </c>
    </row>
    <row r="44" spans="2:17">
      <c r="B44" s="35"/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5"/>
      <c r="Q44" s="25"/>
    </row>
    <row r="45" spans="2:17">
      <c r="B45" s="26" t="s">
        <v>14</v>
      </c>
      <c r="C45" s="27"/>
      <c r="D45" s="38"/>
      <c r="E45" s="38"/>
      <c r="F45" s="38">
        <v>1445875.56</v>
      </c>
      <c r="G45" s="38">
        <v>504057.32</v>
      </c>
      <c r="H45" s="38">
        <f>15780.83+1401592.32</f>
        <v>1417373.1500000001</v>
      </c>
      <c r="I45" s="38">
        <f>497307.75</f>
        <v>497307.75</v>
      </c>
      <c r="J45" s="38">
        <f>14359.15+1094634.15</f>
        <v>1108993.2999999998</v>
      </c>
      <c r="K45" s="38">
        <v>581610.39</v>
      </c>
      <c r="L45" s="38">
        <f>45290.3+812014.95</f>
        <v>857305.25</v>
      </c>
      <c r="M45" s="38">
        <v>554487.48</v>
      </c>
      <c r="N45" s="38">
        <f>22392+828113.09</f>
        <v>850505.09</v>
      </c>
      <c r="O45" s="38">
        <f>581696.6</f>
        <v>581696.6</v>
      </c>
      <c r="P45" s="17"/>
      <c r="Q45" s="17"/>
    </row>
    <row r="46" spans="2:17">
      <c r="B46" s="30" t="s">
        <v>15</v>
      </c>
      <c r="C46" s="3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17"/>
      <c r="Q46" s="17"/>
    </row>
    <row r="47" spans="2:17">
      <c r="B47" s="26" t="s">
        <v>16</v>
      </c>
      <c r="C47" s="27"/>
      <c r="D47" s="38"/>
      <c r="E47" s="38"/>
      <c r="F47" s="38">
        <v>1463841.51</v>
      </c>
      <c r="G47" s="38"/>
      <c r="H47" s="38">
        <v>166700</v>
      </c>
      <c r="I47" s="38"/>
      <c r="J47" s="38"/>
      <c r="K47" s="38"/>
      <c r="L47" s="38"/>
      <c r="M47" s="38"/>
      <c r="N47" s="38"/>
      <c r="O47" s="38"/>
      <c r="P47" s="17"/>
      <c r="Q47" s="17"/>
    </row>
    <row r="48" spans="2:17">
      <c r="B48" s="30" t="s">
        <v>17</v>
      </c>
      <c r="C48" s="31"/>
      <c r="D48" s="38"/>
      <c r="E48" s="38"/>
      <c r="F48" s="38">
        <v>10156548.25</v>
      </c>
      <c r="G48" s="38">
        <v>8858996.9299999997</v>
      </c>
      <c r="H48" s="38">
        <f>317.3+10868571.22</f>
        <v>10868888.520000001</v>
      </c>
      <c r="I48" s="38">
        <f>10199734.22+317.3</f>
        <v>10200051.520000001</v>
      </c>
      <c r="J48" s="38">
        <f>317.3+9400193.22</f>
        <v>9400510.5200000014</v>
      </c>
      <c r="K48" s="38">
        <f>317.3+8729105.22</f>
        <v>8729422.5200000014</v>
      </c>
      <c r="L48" s="38">
        <f>317.3+8959341.22</f>
        <v>8959658.5200000014</v>
      </c>
      <c r="M48" s="38">
        <f>317.3+8959341.22</f>
        <v>8959658.5200000014</v>
      </c>
      <c r="N48" s="38">
        <v>9641398.0299999993</v>
      </c>
      <c r="O48" s="38">
        <v>9641398.0299999993</v>
      </c>
      <c r="P48" s="17"/>
      <c r="Q48" s="17"/>
    </row>
    <row r="49" spans="2:17">
      <c r="B49" s="30" t="s">
        <v>18</v>
      </c>
      <c r="C49" s="3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17"/>
      <c r="Q49" s="17"/>
    </row>
    <row r="50" spans="2:17">
      <c r="B50" s="32" t="s">
        <v>24</v>
      </c>
      <c r="C50" s="33"/>
      <c r="D50" s="34">
        <v>654159.29</v>
      </c>
      <c r="E50" s="34">
        <f t="shared" ref="E50" si="12">SUM(E52:E56)</f>
        <v>0</v>
      </c>
      <c r="F50" s="34">
        <f t="shared" ref="F50:O50" si="13">SUM(F52:F56)</f>
        <v>159427.71</v>
      </c>
      <c r="G50" s="34">
        <f t="shared" si="13"/>
        <v>156150</v>
      </c>
      <c r="H50" s="34">
        <f t="shared" si="13"/>
        <v>166323.26</v>
      </c>
      <c r="I50" s="34">
        <f t="shared" si="13"/>
        <v>156150</v>
      </c>
      <c r="J50" s="34">
        <f t="shared" si="13"/>
        <v>158187.54</v>
      </c>
      <c r="K50" s="34">
        <f t="shared" si="13"/>
        <v>156150</v>
      </c>
      <c r="L50" s="34">
        <f t="shared" si="13"/>
        <v>157389.10999999999</v>
      </c>
      <c r="M50" s="34">
        <f t="shared" si="13"/>
        <v>156150</v>
      </c>
      <c r="N50" s="34">
        <f t="shared" si="13"/>
        <v>162310.56</v>
      </c>
      <c r="O50" s="34">
        <f t="shared" si="13"/>
        <v>156150</v>
      </c>
      <c r="P50" s="21">
        <f>F50/D50-1</f>
        <v>-0.75628610273195085</v>
      </c>
      <c r="Q50" s="21">
        <v>0</v>
      </c>
    </row>
    <row r="51" spans="2:17">
      <c r="B51" s="35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5"/>
      <c r="Q51" s="25"/>
    </row>
    <row r="52" spans="2:17">
      <c r="B52" s="26" t="s">
        <v>14</v>
      </c>
      <c r="C52" s="27"/>
      <c r="D52" s="38"/>
      <c r="E52" s="38"/>
      <c r="F52" s="38">
        <v>2936.71</v>
      </c>
      <c r="G52" s="38"/>
      <c r="H52" s="38">
        <v>10173.26</v>
      </c>
      <c r="I52" s="38"/>
      <c r="J52" s="38">
        <v>2037.54</v>
      </c>
      <c r="K52" s="38"/>
      <c r="L52" s="38">
        <v>1239.1099999999999</v>
      </c>
      <c r="M52" s="38"/>
      <c r="N52" s="38">
        <v>6160.56</v>
      </c>
      <c r="O52" s="38"/>
      <c r="P52" s="17"/>
      <c r="Q52" s="17"/>
    </row>
    <row r="53" spans="2:17">
      <c r="B53" s="30" t="s">
        <v>15</v>
      </c>
      <c r="C53" s="31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17"/>
      <c r="Q53" s="17"/>
    </row>
    <row r="54" spans="2:17">
      <c r="B54" s="26" t="s">
        <v>16</v>
      </c>
      <c r="C54" s="27"/>
      <c r="D54" s="38"/>
      <c r="E54" s="38"/>
      <c r="F54" s="38">
        <v>-10</v>
      </c>
      <c r="G54" s="38"/>
      <c r="H54" s="38"/>
      <c r="I54" s="38"/>
      <c r="J54" s="38"/>
      <c r="K54" s="38"/>
      <c r="L54" s="38"/>
      <c r="M54" s="38"/>
      <c r="N54" s="38"/>
      <c r="O54" s="38"/>
      <c r="P54" s="17"/>
      <c r="Q54" s="17"/>
    </row>
    <row r="55" spans="2:17">
      <c r="B55" s="30" t="s">
        <v>17</v>
      </c>
      <c r="C55" s="31"/>
      <c r="D55" s="38"/>
      <c r="E55" s="38"/>
      <c r="F55" s="38">
        <v>351</v>
      </c>
      <c r="G55" s="38"/>
      <c r="H55" s="38"/>
      <c r="I55" s="38"/>
      <c r="J55" s="38"/>
      <c r="K55" s="38"/>
      <c r="L55" s="38"/>
      <c r="M55" s="38"/>
      <c r="N55" s="38"/>
      <c r="O55" s="38"/>
      <c r="P55" s="17"/>
      <c r="Q55" s="17"/>
    </row>
    <row r="56" spans="2:17">
      <c r="B56" s="30" t="s">
        <v>18</v>
      </c>
      <c r="C56" s="31"/>
      <c r="D56" s="38"/>
      <c r="E56" s="38"/>
      <c r="F56" s="38">
        <v>156150</v>
      </c>
      <c r="G56" s="38">
        <v>156150</v>
      </c>
      <c r="H56" s="38">
        <v>156150</v>
      </c>
      <c r="I56" s="38">
        <v>156150</v>
      </c>
      <c r="J56" s="38">
        <v>156150</v>
      </c>
      <c r="K56" s="38">
        <v>156150</v>
      </c>
      <c r="L56" s="38">
        <v>156150</v>
      </c>
      <c r="M56" s="38">
        <v>156150</v>
      </c>
      <c r="N56" s="38">
        <v>156150</v>
      </c>
      <c r="O56" s="38">
        <v>156150</v>
      </c>
      <c r="P56" s="17"/>
      <c r="Q56" s="17"/>
    </row>
    <row r="57" spans="2:17">
      <c r="B57" s="32" t="s">
        <v>25</v>
      </c>
      <c r="C57" s="33"/>
      <c r="D57" s="20">
        <v>10829169.880000001</v>
      </c>
      <c r="E57" s="20">
        <f>1640975.89+2975186.97+988391.8</f>
        <v>5604554.6600000001</v>
      </c>
      <c r="F57" s="20">
        <f t="shared" ref="F57:G57" si="14">SUM(F59:F63)</f>
        <v>6197764.7700000005</v>
      </c>
      <c r="G57" s="20">
        <f t="shared" si="14"/>
        <v>3749667.49</v>
      </c>
      <c r="H57" s="20">
        <f t="shared" ref="H57:O57" si="15">SUM(H59:H63)</f>
        <v>6852948.2799999993</v>
      </c>
      <c r="I57" s="20">
        <f t="shared" si="15"/>
        <v>3749667.49</v>
      </c>
      <c r="J57" s="20">
        <f t="shared" si="15"/>
        <v>5929212.6499999994</v>
      </c>
      <c r="K57" s="20">
        <f t="shared" si="15"/>
        <v>2974471.0500000003</v>
      </c>
      <c r="L57" s="20">
        <f t="shared" si="15"/>
        <v>7559967.5599999996</v>
      </c>
      <c r="M57" s="20">
        <f t="shared" si="15"/>
        <v>2974471.0500000003</v>
      </c>
      <c r="N57" s="20">
        <f t="shared" si="15"/>
        <v>6930316.6799999997</v>
      </c>
      <c r="O57" s="20">
        <f t="shared" si="15"/>
        <v>4894294.6399999997</v>
      </c>
      <c r="P57" s="21">
        <f>F57/D57-1</f>
        <v>-0.4276786827911504</v>
      </c>
      <c r="Q57" s="21">
        <f>G57/E57-1</f>
        <v>-0.3309606708341033</v>
      </c>
    </row>
    <row r="58" spans="2:17">
      <c r="B58" s="35"/>
      <c r="C58" s="3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25"/>
    </row>
    <row r="59" spans="2:17">
      <c r="B59" s="26" t="s">
        <v>14</v>
      </c>
      <c r="C59" s="27"/>
      <c r="D59" s="28"/>
      <c r="E59" s="28"/>
      <c r="F59" s="28">
        <v>6195284.0800000001</v>
      </c>
      <c r="G59" s="28">
        <f>3363056.56+386610.93</f>
        <v>3749667.49</v>
      </c>
      <c r="H59" s="28">
        <f>2263909.36+4559378.25</f>
        <v>6823287.6099999994</v>
      </c>
      <c r="I59" s="28">
        <f>386610.93+3363056.56</f>
        <v>3749667.49</v>
      </c>
      <c r="J59" s="28">
        <f>1799893.76+4099496.79</f>
        <v>5899390.5499999998</v>
      </c>
      <c r="K59" s="28">
        <f>386610.93+2587860.12</f>
        <v>2974471.0500000003</v>
      </c>
      <c r="L59" s="28">
        <f>5416106.16+2141154.26+1386.18+1320.96</f>
        <v>7559967.5599999996</v>
      </c>
      <c r="M59" s="28">
        <f>2587860.12+386610.93</f>
        <v>2974471.0500000003</v>
      </c>
      <c r="N59" s="28">
        <v>6930316.6799999997</v>
      </c>
      <c r="O59" s="28">
        <v>4894294.6399999997</v>
      </c>
      <c r="P59" s="29"/>
      <c r="Q59" s="29"/>
    </row>
    <row r="60" spans="2:17">
      <c r="B60" s="30" t="s">
        <v>15</v>
      </c>
      <c r="C60" s="31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9"/>
    </row>
    <row r="61" spans="2:17">
      <c r="B61" s="26" t="s">
        <v>16</v>
      </c>
      <c r="C61" s="27"/>
      <c r="D61" s="28"/>
      <c r="E61" s="28"/>
      <c r="F61" s="28"/>
      <c r="G61" s="28"/>
      <c r="H61" s="28">
        <v>-0.01</v>
      </c>
      <c r="I61" s="28"/>
      <c r="J61" s="28"/>
      <c r="K61" s="28"/>
      <c r="L61" s="28"/>
      <c r="M61" s="28"/>
      <c r="N61" s="28"/>
      <c r="O61" s="28"/>
      <c r="P61" s="29"/>
      <c r="Q61" s="29"/>
    </row>
    <row r="62" spans="2:17">
      <c r="B62" s="30" t="s">
        <v>17</v>
      </c>
      <c r="C62" s="31"/>
      <c r="D62" s="28"/>
      <c r="E62" s="28"/>
      <c r="F62" s="28"/>
      <c r="G62" s="28"/>
      <c r="H62" s="28">
        <v>-67</v>
      </c>
      <c r="I62" s="28"/>
      <c r="J62" s="28"/>
      <c r="K62" s="28"/>
      <c r="L62" s="28"/>
      <c r="M62" s="28"/>
      <c r="N62" s="28"/>
      <c r="O62" s="28"/>
      <c r="P62" s="29"/>
      <c r="Q62" s="29"/>
    </row>
    <row r="63" spans="2:17">
      <c r="B63" s="30" t="s">
        <v>18</v>
      </c>
      <c r="C63" s="31"/>
      <c r="D63" s="28"/>
      <c r="E63" s="28"/>
      <c r="F63" s="28">
        <v>2480.69</v>
      </c>
      <c r="G63" s="28"/>
      <c r="H63" s="28">
        <f>10138.57+19589.11</f>
        <v>29727.68</v>
      </c>
      <c r="I63" s="28"/>
      <c r="J63" s="28">
        <f>14183.88+15638.22</f>
        <v>29822.1</v>
      </c>
      <c r="K63" s="28"/>
      <c r="L63" s="28"/>
      <c r="M63" s="28"/>
      <c r="N63" s="28"/>
      <c r="O63" s="28"/>
      <c r="P63" s="29"/>
      <c r="Q63" s="29"/>
    </row>
    <row r="64" spans="2:17">
      <c r="B64" s="32" t="s">
        <v>26</v>
      </c>
      <c r="C64" s="33"/>
      <c r="D64" s="34">
        <v>-1470.89</v>
      </c>
      <c r="E64" s="34">
        <f t="shared" ref="E64" si="16">SUM(E66:E70)</f>
        <v>0</v>
      </c>
      <c r="F64" s="34">
        <f t="shared" ref="F64:O64" si="17">SUM(F66:F70)</f>
        <v>741.25</v>
      </c>
      <c r="G64" s="34">
        <f t="shared" si="17"/>
        <v>0</v>
      </c>
      <c r="H64" s="34">
        <f t="shared" si="17"/>
        <v>0</v>
      </c>
      <c r="I64" s="34">
        <f t="shared" si="17"/>
        <v>0</v>
      </c>
      <c r="J64" s="34">
        <f t="shared" si="17"/>
        <v>0</v>
      </c>
      <c r="K64" s="34">
        <f t="shared" si="17"/>
        <v>0</v>
      </c>
      <c r="L64" s="34">
        <f t="shared" si="17"/>
        <v>0</v>
      </c>
      <c r="M64" s="34">
        <f t="shared" si="17"/>
        <v>0</v>
      </c>
      <c r="N64" s="34">
        <f t="shared" si="17"/>
        <v>0</v>
      </c>
      <c r="O64" s="34">
        <f t="shared" si="17"/>
        <v>0</v>
      </c>
      <c r="P64" s="21">
        <f>F64/D64-1</f>
        <v>-1.5039465901596993</v>
      </c>
      <c r="Q64" s="21">
        <v>0</v>
      </c>
    </row>
    <row r="65" spans="2:17">
      <c r="B65" s="35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25"/>
      <c r="Q65" s="25"/>
    </row>
    <row r="66" spans="2:17">
      <c r="B66" s="26" t="s">
        <v>14</v>
      </c>
      <c r="C66" s="27"/>
      <c r="D66" s="38"/>
      <c r="E66" s="38"/>
      <c r="F66" s="38">
        <v>741.25</v>
      </c>
      <c r="G66" s="38"/>
      <c r="H66" s="38"/>
      <c r="I66" s="38"/>
      <c r="J66" s="38"/>
      <c r="K66" s="38"/>
      <c r="L66" s="38"/>
      <c r="M66" s="38"/>
      <c r="N66" s="38"/>
      <c r="O66" s="38"/>
      <c r="P66" s="17"/>
      <c r="Q66" s="17"/>
    </row>
    <row r="67" spans="2:17">
      <c r="B67" s="30" t="s">
        <v>15</v>
      </c>
      <c r="C67" s="31"/>
      <c r="D67" s="38"/>
      <c r="E67" s="38"/>
      <c r="F67" s="38">
        <v>0</v>
      </c>
      <c r="G67" s="38">
        <v>0</v>
      </c>
      <c r="H67" s="38"/>
      <c r="I67" s="38"/>
      <c r="J67" s="38"/>
      <c r="K67" s="38"/>
      <c r="L67" s="38"/>
      <c r="M67" s="38"/>
      <c r="N67" s="38"/>
      <c r="O67" s="38"/>
      <c r="P67" s="17"/>
      <c r="Q67" s="17"/>
    </row>
    <row r="68" spans="2:17">
      <c r="B68" s="26" t="s">
        <v>16</v>
      </c>
      <c r="C68" s="27"/>
      <c r="D68" s="38"/>
      <c r="E68" s="38"/>
      <c r="F68" s="38">
        <v>0</v>
      </c>
      <c r="G68" s="38">
        <v>0</v>
      </c>
      <c r="H68" s="38"/>
      <c r="I68" s="38"/>
      <c r="J68" s="38"/>
      <c r="K68" s="38"/>
      <c r="L68" s="38"/>
      <c r="M68" s="38"/>
      <c r="N68" s="38"/>
      <c r="O68" s="38"/>
      <c r="P68" s="17"/>
      <c r="Q68" s="17"/>
    </row>
    <row r="69" spans="2:17">
      <c r="B69" s="30" t="s">
        <v>17</v>
      </c>
      <c r="C69" s="31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17"/>
      <c r="Q69" s="17"/>
    </row>
    <row r="70" spans="2:17">
      <c r="B70" s="30" t="s">
        <v>18</v>
      </c>
      <c r="C70" s="31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17"/>
      <c r="Q70" s="17"/>
    </row>
    <row r="71" spans="2:17">
      <c r="B71" s="39" t="s">
        <v>27</v>
      </c>
      <c r="C71" s="39"/>
      <c r="D71" s="40">
        <v>3090165.46</v>
      </c>
      <c r="E71" s="40">
        <v>3090165.46</v>
      </c>
      <c r="F71" s="40">
        <f>SUM(F72:F74)</f>
        <v>0</v>
      </c>
      <c r="G71" s="40">
        <f>SUM(G72:G74)</f>
        <v>0</v>
      </c>
      <c r="H71" s="40">
        <f t="shared" ref="H71:O71" si="18">SUM(H72:H74)</f>
        <v>0</v>
      </c>
      <c r="I71" s="40">
        <f t="shared" si="18"/>
        <v>0</v>
      </c>
      <c r="J71" s="40">
        <f t="shared" si="18"/>
        <v>0</v>
      </c>
      <c r="K71" s="40">
        <f t="shared" si="18"/>
        <v>0</v>
      </c>
      <c r="L71" s="40">
        <f t="shared" si="18"/>
        <v>0</v>
      </c>
      <c r="M71" s="40">
        <f t="shared" si="18"/>
        <v>0</v>
      </c>
      <c r="N71" s="40">
        <f t="shared" si="18"/>
        <v>0</v>
      </c>
      <c r="O71" s="40">
        <f t="shared" si="18"/>
        <v>0</v>
      </c>
      <c r="P71" s="21">
        <f>F71/D71-1</f>
        <v>-1</v>
      </c>
      <c r="Q71" s="21">
        <f>G71/E71-1</f>
        <v>-1</v>
      </c>
    </row>
    <row r="72" spans="2:17">
      <c r="B72" s="41" t="s">
        <v>17</v>
      </c>
      <c r="C72" s="42"/>
      <c r="D72" s="38"/>
      <c r="E72" s="38"/>
      <c r="F72" s="38"/>
      <c r="G72" s="38"/>
      <c r="H72" s="43"/>
      <c r="I72" s="43"/>
      <c r="J72" s="43"/>
      <c r="K72" s="43"/>
      <c r="L72" s="43"/>
      <c r="M72" s="43"/>
      <c r="N72" s="43"/>
      <c r="O72" s="43"/>
      <c r="P72" s="25"/>
      <c r="Q72" s="25"/>
    </row>
    <row r="73" spans="2:17" s="48" customFormat="1">
      <c r="B73" s="44" t="s">
        <v>28</v>
      </c>
      <c r="C73" s="45"/>
      <c r="D73" s="40">
        <f>4008760.53+5844431.63+14283.75+179317.37</f>
        <v>10046793.279999999</v>
      </c>
      <c r="E73" s="40">
        <f>989699.04+1910943.77</f>
        <v>2900642.81</v>
      </c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7"/>
      <c r="Q73" s="47"/>
    </row>
    <row r="74" spans="2:17">
      <c r="B74" s="29"/>
      <c r="C74" s="29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17"/>
      <c r="Q74" s="17"/>
    </row>
    <row r="75" spans="2:17" s="53" customFormat="1">
      <c r="B75" s="49" t="s">
        <v>29</v>
      </c>
      <c r="C75" s="50"/>
      <c r="D75" s="51">
        <f>D8+D15+D22+D29+D36+D43+D50+D57+D64+D71+D73</f>
        <v>94587677.819999993</v>
      </c>
      <c r="E75" s="51">
        <f>E8+E15+E22+E29+E36+E43+E50+E57+E64+E71+E73</f>
        <v>68008770.719999999</v>
      </c>
      <c r="F75" s="51">
        <f>F8+F15+F22+F29+F36+F43+F50+F57+F64+F71</f>
        <v>85864729.75999999</v>
      </c>
      <c r="G75" s="51">
        <f>G8+G15+G22+G29+G36+G43+G50+G57+G64+G71</f>
        <v>66510808.209999993</v>
      </c>
      <c r="H75" s="51">
        <f t="shared" ref="H75:O75" si="19">H8+H15+H22+H29+H36+H43+H50+H57+H64+H71</f>
        <v>93511066.090000018</v>
      </c>
      <c r="I75" s="51">
        <f t="shared" si="19"/>
        <v>66963948.660000004</v>
      </c>
      <c r="J75" s="51">
        <f t="shared" si="19"/>
        <v>92440148.88000001</v>
      </c>
      <c r="K75" s="51">
        <f t="shared" si="19"/>
        <v>69371696.100000009</v>
      </c>
      <c r="L75" s="51">
        <f t="shared" si="19"/>
        <v>93692017.959999993</v>
      </c>
      <c r="M75" s="51">
        <f t="shared" si="19"/>
        <v>72494645.030000001</v>
      </c>
      <c r="N75" s="51">
        <f t="shared" si="19"/>
        <v>95350288.340000004</v>
      </c>
      <c r="O75" s="51">
        <f t="shared" si="19"/>
        <v>74699098.340000004</v>
      </c>
      <c r="P75" s="52">
        <f>F75/D75-1</f>
        <v>-9.2220765548338579E-2</v>
      </c>
      <c r="Q75" s="52">
        <f>G75/E75-1</f>
        <v>-2.2026019499268523E-2</v>
      </c>
    </row>
    <row r="76" spans="2:17">
      <c r="B76" s="26" t="s">
        <v>14</v>
      </c>
      <c r="C76" s="27"/>
      <c r="D76" s="38">
        <f t="shared" ref="D76:G80" si="20">D10+D17+D24+D31+D38+D45+D52+D59+D66</f>
        <v>0</v>
      </c>
      <c r="E76" s="38">
        <f t="shared" si="20"/>
        <v>0</v>
      </c>
      <c r="F76" s="38">
        <f t="shared" si="20"/>
        <v>17953226.410000004</v>
      </c>
      <c r="G76" s="38">
        <f t="shared" si="20"/>
        <v>6382951.8399999943</v>
      </c>
      <c r="H76" s="38"/>
      <c r="I76" s="38"/>
      <c r="J76" s="38"/>
      <c r="K76" s="38"/>
      <c r="L76" s="38"/>
      <c r="M76" s="38"/>
      <c r="N76" s="38"/>
      <c r="O76" s="38"/>
      <c r="P76" s="52"/>
      <c r="Q76" s="52"/>
    </row>
    <row r="77" spans="2:17">
      <c r="B77" s="30" t="s">
        <v>15</v>
      </c>
      <c r="C77" s="31"/>
      <c r="D77" s="38">
        <f t="shared" si="20"/>
        <v>0</v>
      </c>
      <c r="E77" s="38">
        <f t="shared" si="20"/>
        <v>0</v>
      </c>
      <c r="F77" s="38">
        <f t="shared" si="20"/>
        <v>0</v>
      </c>
      <c r="G77" s="38">
        <f t="shared" si="20"/>
        <v>0</v>
      </c>
      <c r="H77" s="38"/>
      <c r="I77" s="38"/>
      <c r="J77" s="38"/>
      <c r="K77" s="38"/>
      <c r="L77" s="38"/>
      <c r="M77" s="38"/>
      <c r="N77" s="38"/>
      <c r="O77" s="38"/>
      <c r="P77" s="52"/>
      <c r="Q77" s="52"/>
    </row>
    <row r="78" spans="2:17">
      <c r="B78" s="26" t="s">
        <v>16</v>
      </c>
      <c r="C78" s="27"/>
      <c r="D78" s="38">
        <f t="shared" si="20"/>
        <v>0</v>
      </c>
      <c r="E78" s="38">
        <f t="shared" si="20"/>
        <v>0</v>
      </c>
      <c r="F78" s="38">
        <f t="shared" si="20"/>
        <v>5781112.8999999994</v>
      </c>
      <c r="G78" s="38">
        <f t="shared" si="20"/>
        <v>0</v>
      </c>
      <c r="H78" s="38"/>
      <c r="I78" s="38"/>
      <c r="J78" s="38"/>
      <c r="K78" s="38"/>
      <c r="L78" s="38"/>
      <c r="M78" s="38"/>
      <c r="N78" s="38"/>
      <c r="O78" s="38"/>
      <c r="P78" s="52"/>
      <c r="Q78" s="52"/>
    </row>
    <row r="79" spans="2:17">
      <c r="B79" s="30" t="s">
        <v>17</v>
      </c>
      <c r="C79" s="31"/>
      <c r="D79" s="38">
        <f t="shared" ref="D79:G79" si="21">D13+D20+D27+D34+D41+D48+D55+D62+D69+D72</f>
        <v>0</v>
      </c>
      <c r="E79" s="38">
        <f t="shared" si="21"/>
        <v>0</v>
      </c>
      <c r="F79" s="38">
        <f t="shared" si="21"/>
        <v>60461371.310000002</v>
      </c>
      <c r="G79" s="38">
        <f t="shared" si="21"/>
        <v>58245420.57</v>
      </c>
      <c r="H79" s="38"/>
      <c r="I79" s="38"/>
      <c r="J79" s="38"/>
      <c r="K79" s="38"/>
      <c r="L79" s="38"/>
      <c r="M79" s="38"/>
      <c r="N79" s="38"/>
      <c r="O79" s="38"/>
      <c r="P79" s="52"/>
      <c r="Q79" s="52"/>
    </row>
    <row r="80" spans="2:17">
      <c r="B80" s="30" t="s">
        <v>18</v>
      </c>
      <c r="C80" s="31"/>
      <c r="D80" s="38">
        <f t="shared" ref="D80:E80" si="22">D14+D21+D28+D35+D42+D49+D56+D63+D70</f>
        <v>0</v>
      </c>
      <c r="E80" s="38">
        <f t="shared" si="22"/>
        <v>0</v>
      </c>
      <c r="F80" s="38">
        <f t="shared" si="20"/>
        <v>1669019.14</v>
      </c>
      <c r="G80" s="38">
        <f t="shared" si="20"/>
        <v>1882435.7999999998</v>
      </c>
      <c r="H80" s="38"/>
      <c r="I80" s="38"/>
      <c r="J80" s="38"/>
      <c r="K80" s="38"/>
      <c r="L80" s="38"/>
      <c r="M80" s="38"/>
      <c r="N80" s="38"/>
      <c r="O80" s="38"/>
      <c r="P80" s="52"/>
      <c r="Q80" s="52"/>
    </row>
    <row r="81" spans="2:21" s="53" customFormat="1" ht="27.75" customHeight="1">
      <c r="B81" s="54" t="s">
        <v>30</v>
      </c>
      <c r="C81" s="55"/>
      <c r="D81" s="56">
        <v>19700824</v>
      </c>
      <c r="E81" s="56"/>
      <c r="F81" s="56">
        <v>30646350</v>
      </c>
      <c r="G81" s="56"/>
      <c r="H81" s="56">
        <v>30646350</v>
      </c>
      <c r="I81" s="56"/>
      <c r="J81" s="56">
        <v>30646350</v>
      </c>
      <c r="K81" s="56"/>
      <c r="L81" s="56">
        <v>30646350</v>
      </c>
      <c r="M81" s="56"/>
      <c r="N81" s="56">
        <v>30646350</v>
      </c>
      <c r="O81" s="56"/>
      <c r="P81" s="52">
        <f>F81/D81-1</f>
        <v>0.55558721807778189</v>
      </c>
      <c r="Q81" s="52"/>
      <c r="U81" s="57"/>
    </row>
    <row r="82" spans="2:21" s="53" customFormat="1">
      <c r="B82" s="49" t="s">
        <v>31</v>
      </c>
      <c r="C82" s="50"/>
      <c r="D82" s="56">
        <f t="shared" ref="D82:O82" si="23">D75+D81</f>
        <v>114288501.81999999</v>
      </c>
      <c r="E82" s="56">
        <f t="shared" si="23"/>
        <v>68008770.719999999</v>
      </c>
      <c r="F82" s="56">
        <f t="shared" si="23"/>
        <v>116511079.75999999</v>
      </c>
      <c r="G82" s="56">
        <f t="shared" si="23"/>
        <v>66510808.209999993</v>
      </c>
      <c r="H82" s="56">
        <f t="shared" si="23"/>
        <v>124157416.09000002</v>
      </c>
      <c r="I82" s="56">
        <f t="shared" si="23"/>
        <v>66963948.660000004</v>
      </c>
      <c r="J82" s="56">
        <f t="shared" si="23"/>
        <v>123086498.88000001</v>
      </c>
      <c r="K82" s="56">
        <f t="shared" si="23"/>
        <v>69371696.100000009</v>
      </c>
      <c r="L82" s="56">
        <f t="shared" si="23"/>
        <v>124338367.95999999</v>
      </c>
      <c r="M82" s="56">
        <f t="shared" si="23"/>
        <v>72494645.030000001</v>
      </c>
      <c r="N82" s="56">
        <f t="shared" si="23"/>
        <v>125996638.34</v>
      </c>
      <c r="O82" s="56">
        <f t="shared" si="23"/>
        <v>74699098.340000004</v>
      </c>
      <c r="P82" s="52">
        <f>F82/D82-1</f>
        <v>1.9447082642665814E-2</v>
      </c>
      <c r="Q82" s="52">
        <f>G82/E82-1</f>
        <v>-2.2026019499268523E-2</v>
      </c>
    </row>
    <row r="83" spans="2:21" ht="15" customHeight="1">
      <c r="B83" s="58" t="s">
        <v>32</v>
      </c>
      <c r="C83" s="59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21" ht="45.75" customHeight="1">
      <c r="B84" s="26" t="s">
        <v>33</v>
      </c>
      <c r="C84" s="27"/>
      <c r="D84" s="60">
        <v>102575991</v>
      </c>
      <c r="E84" s="60">
        <v>63430848.460000001</v>
      </c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21" ht="63" customHeight="1">
      <c r="B85" s="61" t="s">
        <v>34</v>
      </c>
      <c r="C85" s="61"/>
      <c r="D85" s="60">
        <f>D82-D84</f>
        <v>11712510.819999993</v>
      </c>
      <c r="E85" s="60">
        <f>E82-E84</f>
        <v>4577922.2599999979</v>
      </c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21">
      <c r="B86" s="62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</row>
    <row r="87" spans="2:21">
      <c r="B87" s="62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</row>
    <row r="88" spans="2:21">
      <c r="B88" s="62"/>
      <c r="C88" s="62"/>
    </row>
  </sheetData>
  <mergeCells count="204">
    <mergeCell ref="B83:C83"/>
    <mergeCell ref="B84:C84"/>
    <mergeCell ref="B85:C85"/>
    <mergeCell ref="B77:C77"/>
    <mergeCell ref="B78:C78"/>
    <mergeCell ref="B79:C79"/>
    <mergeCell ref="B80:C80"/>
    <mergeCell ref="B81:C81"/>
    <mergeCell ref="B82:C82"/>
    <mergeCell ref="P71:P72"/>
    <mergeCell ref="Q71:Q72"/>
    <mergeCell ref="B72:C72"/>
    <mergeCell ref="B73:C73"/>
    <mergeCell ref="B75:C75"/>
    <mergeCell ref="B76:C76"/>
    <mergeCell ref="Q64:Q65"/>
    <mergeCell ref="B66:C66"/>
    <mergeCell ref="B67:C67"/>
    <mergeCell ref="B68:C68"/>
    <mergeCell ref="B69:C69"/>
    <mergeCell ref="B70:C70"/>
    <mergeCell ref="K64:K65"/>
    <mergeCell ref="L64:L65"/>
    <mergeCell ref="M64:M65"/>
    <mergeCell ref="N64:N65"/>
    <mergeCell ref="O64:O65"/>
    <mergeCell ref="P64:P65"/>
    <mergeCell ref="E64:E65"/>
    <mergeCell ref="F64:F65"/>
    <mergeCell ref="G64:G65"/>
    <mergeCell ref="H64:H65"/>
    <mergeCell ref="I64:I65"/>
    <mergeCell ref="J64:J65"/>
    <mergeCell ref="B60:C60"/>
    <mergeCell ref="B61:C61"/>
    <mergeCell ref="B62:C62"/>
    <mergeCell ref="B63:C63"/>
    <mergeCell ref="B64:C65"/>
    <mergeCell ref="D64:D65"/>
    <mergeCell ref="M57:M58"/>
    <mergeCell ref="N57:N58"/>
    <mergeCell ref="O57:O58"/>
    <mergeCell ref="P57:P58"/>
    <mergeCell ref="Q57:Q58"/>
    <mergeCell ref="B59:C59"/>
    <mergeCell ref="G57:G58"/>
    <mergeCell ref="H57:H58"/>
    <mergeCell ref="I57:I58"/>
    <mergeCell ref="J57:J58"/>
    <mergeCell ref="K57:K58"/>
    <mergeCell ref="L57:L58"/>
    <mergeCell ref="B55:C55"/>
    <mergeCell ref="B56:C56"/>
    <mergeCell ref="B57:C58"/>
    <mergeCell ref="D57:D58"/>
    <mergeCell ref="E57:E58"/>
    <mergeCell ref="F57:F58"/>
    <mergeCell ref="O50:O51"/>
    <mergeCell ref="P50:P51"/>
    <mergeCell ref="Q50:Q51"/>
    <mergeCell ref="B52:C52"/>
    <mergeCell ref="B53:C53"/>
    <mergeCell ref="B54:C54"/>
    <mergeCell ref="I50:I51"/>
    <mergeCell ref="J50:J51"/>
    <mergeCell ref="K50:K51"/>
    <mergeCell ref="L50:L51"/>
    <mergeCell ref="M50:M51"/>
    <mergeCell ref="N50:N51"/>
    <mergeCell ref="B50:C51"/>
    <mergeCell ref="D50:D51"/>
    <mergeCell ref="E50:E51"/>
    <mergeCell ref="F50:F51"/>
    <mergeCell ref="G50:G51"/>
    <mergeCell ref="H50:H51"/>
    <mergeCell ref="Q43:Q44"/>
    <mergeCell ref="B45:C45"/>
    <mergeCell ref="B46:C46"/>
    <mergeCell ref="B47:C47"/>
    <mergeCell ref="B48:C48"/>
    <mergeCell ref="B49:C49"/>
    <mergeCell ref="K43:K44"/>
    <mergeCell ref="L43:L44"/>
    <mergeCell ref="M43:M44"/>
    <mergeCell ref="N43:N44"/>
    <mergeCell ref="O43:O44"/>
    <mergeCell ref="P43:P44"/>
    <mergeCell ref="E43:E44"/>
    <mergeCell ref="F43:F44"/>
    <mergeCell ref="G43:G44"/>
    <mergeCell ref="H43:H44"/>
    <mergeCell ref="I43:I44"/>
    <mergeCell ref="J43:J44"/>
    <mergeCell ref="B39:C39"/>
    <mergeCell ref="B40:C40"/>
    <mergeCell ref="B41:C41"/>
    <mergeCell ref="B42:C42"/>
    <mergeCell ref="B43:C44"/>
    <mergeCell ref="D43:D44"/>
    <mergeCell ref="M36:M37"/>
    <mergeCell ref="N36:N37"/>
    <mergeCell ref="O36:O37"/>
    <mergeCell ref="P36:P37"/>
    <mergeCell ref="Q36:Q37"/>
    <mergeCell ref="B38:C38"/>
    <mergeCell ref="G36:G37"/>
    <mergeCell ref="H36:H37"/>
    <mergeCell ref="I36:I37"/>
    <mergeCell ref="J36:J37"/>
    <mergeCell ref="K36:K37"/>
    <mergeCell ref="L36:L37"/>
    <mergeCell ref="B34:C34"/>
    <mergeCell ref="B35:C35"/>
    <mergeCell ref="B36:C37"/>
    <mergeCell ref="D36:D37"/>
    <mergeCell ref="E36:E37"/>
    <mergeCell ref="F36:F37"/>
    <mergeCell ref="O29:O30"/>
    <mergeCell ref="P29:P30"/>
    <mergeCell ref="Q29:Q30"/>
    <mergeCell ref="B31:C31"/>
    <mergeCell ref="B32:C32"/>
    <mergeCell ref="B33:C33"/>
    <mergeCell ref="I29:I30"/>
    <mergeCell ref="J29:J30"/>
    <mergeCell ref="K29:K30"/>
    <mergeCell ref="L29:L30"/>
    <mergeCell ref="M29:M30"/>
    <mergeCell ref="N29:N30"/>
    <mergeCell ref="B29:C30"/>
    <mergeCell ref="D29:D30"/>
    <mergeCell ref="E29:E30"/>
    <mergeCell ref="F29:F30"/>
    <mergeCell ref="G29:G30"/>
    <mergeCell ref="H29:H30"/>
    <mergeCell ref="Q22:Q23"/>
    <mergeCell ref="B24:C24"/>
    <mergeCell ref="B25:C25"/>
    <mergeCell ref="B26:C26"/>
    <mergeCell ref="B27:C27"/>
    <mergeCell ref="B28:C28"/>
    <mergeCell ref="K22:K23"/>
    <mergeCell ref="L22:L23"/>
    <mergeCell ref="M22:M23"/>
    <mergeCell ref="N22:N23"/>
    <mergeCell ref="O22:O23"/>
    <mergeCell ref="P22:P23"/>
    <mergeCell ref="E22:E23"/>
    <mergeCell ref="F22:F23"/>
    <mergeCell ref="G22:G23"/>
    <mergeCell ref="H22:H23"/>
    <mergeCell ref="I22:I23"/>
    <mergeCell ref="J22:J23"/>
    <mergeCell ref="B18:C18"/>
    <mergeCell ref="B19:C19"/>
    <mergeCell ref="B20:C20"/>
    <mergeCell ref="B21:C21"/>
    <mergeCell ref="B22:C23"/>
    <mergeCell ref="D22:D23"/>
    <mergeCell ref="M15:M16"/>
    <mergeCell ref="N15:N16"/>
    <mergeCell ref="O15:O16"/>
    <mergeCell ref="P15:P16"/>
    <mergeCell ref="Q15:Q16"/>
    <mergeCell ref="B17:C17"/>
    <mergeCell ref="G15:G16"/>
    <mergeCell ref="H15:H16"/>
    <mergeCell ref="I15:I16"/>
    <mergeCell ref="J15:J16"/>
    <mergeCell ref="K15:K16"/>
    <mergeCell ref="L15:L16"/>
    <mergeCell ref="B13:C13"/>
    <mergeCell ref="B14:C14"/>
    <mergeCell ref="B15:C16"/>
    <mergeCell ref="D15:D16"/>
    <mergeCell ref="E15:E16"/>
    <mergeCell ref="F15:F16"/>
    <mergeCell ref="O8:O9"/>
    <mergeCell ref="P8:P9"/>
    <mergeCell ref="Q8:Q9"/>
    <mergeCell ref="B10:C10"/>
    <mergeCell ref="B11:C11"/>
    <mergeCell ref="B12:C12"/>
    <mergeCell ref="I8:I9"/>
    <mergeCell ref="J8:J9"/>
    <mergeCell ref="K8:K9"/>
    <mergeCell ref="L8:L9"/>
    <mergeCell ref="M8:M9"/>
    <mergeCell ref="N8:N9"/>
    <mergeCell ref="B8:C9"/>
    <mergeCell ref="D8:D9"/>
    <mergeCell ref="E8:E9"/>
    <mergeCell ref="F8:F9"/>
    <mergeCell ref="G8:G9"/>
    <mergeCell ref="H8:H9"/>
    <mergeCell ref="C1:P4"/>
    <mergeCell ref="B5:C7"/>
    <mergeCell ref="D5:E6"/>
    <mergeCell ref="F5:G6"/>
    <mergeCell ref="H5:I6"/>
    <mergeCell ref="J5:K6"/>
    <mergeCell ref="L5:M6"/>
    <mergeCell ref="N5:O6"/>
    <mergeCell ref="P5:Q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dcterms:created xsi:type="dcterms:W3CDTF">2013-05-27T11:35:26Z</dcterms:created>
  <dcterms:modified xsi:type="dcterms:W3CDTF">2013-05-27T11:39:49Z</dcterms:modified>
</cp:coreProperties>
</file>