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" yWindow="48" windowWidth="19056" windowHeight="11016" firstSheet="6" activeTab="6"/>
  </bookViews>
  <sheets>
    <sheet name="Лист3" sheetId="3" state="hidden" r:id="rId1"/>
    <sheet name="Лист4" sheetId="4" state="hidden" r:id="rId2"/>
    <sheet name="Лист5" sheetId="5" state="hidden" r:id="rId3"/>
    <sheet name="Лист6" sheetId="6" state="hidden" r:id="rId4"/>
    <sheet name="Лист7" sheetId="7" state="hidden" r:id="rId5"/>
    <sheet name="Лист8" sheetId="8" state="hidden" r:id="rId6"/>
    <sheet name="декабрь" sheetId="50" r:id="rId7"/>
  </sheets>
  <definedNames>
    <definedName name="_xlnm.Print_Titles" localSheetId="6">декабрь!$5:$7</definedName>
  </definedNames>
  <calcPr calcId="125725"/>
</workbook>
</file>

<file path=xl/calcChain.xml><?xml version="1.0" encoding="utf-8"?>
<calcChain xmlns="http://schemas.openxmlformats.org/spreadsheetml/2006/main">
  <c r="AG60" i="50"/>
  <c r="AI48"/>
  <c r="AI47"/>
  <c r="AG48"/>
  <c r="AG47"/>
  <c r="AG46"/>
  <c r="AG45"/>
  <c r="AI27"/>
  <c r="AI26"/>
  <c r="AI24"/>
  <c r="AG28"/>
  <c r="AG27"/>
  <c r="AG26"/>
  <c r="AG25"/>
  <c r="AG24"/>
  <c r="AG12"/>
  <c r="AG11"/>
  <c r="AG10" l="1"/>
  <c r="AI10"/>
  <c r="AH10"/>
  <c r="AG41"/>
  <c r="AG40"/>
  <c r="AG39"/>
  <c r="AG38"/>
  <c r="AJ40"/>
  <c r="AJ78" s="1"/>
  <c r="AH40"/>
  <c r="AH39"/>
  <c r="AH38"/>
  <c r="AI17"/>
  <c r="AI15" s="1"/>
  <c r="AL15" s="1"/>
  <c r="AG17"/>
  <c r="AJ80"/>
  <c r="AI80"/>
  <c r="AF80"/>
  <c r="AD80"/>
  <c r="AB80"/>
  <c r="Z80"/>
  <c r="Y80"/>
  <c r="X80"/>
  <c r="W80"/>
  <c r="V80"/>
  <c r="U80"/>
  <c r="T80"/>
  <c r="S80"/>
  <c r="R80"/>
  <c r="Q80"/>
  <c r="P80"/>
  <c r="O80"/>
  <c r="N80"/>
  <c r="M80"/>
  <c r="L80"/>
  <c r="K80"/>
  <c r="J80"/>
  <c r="H80"/>
  <c r="E80"/>
  <c r="D80"/>
  <c r="C80"/>
  <c r="AJ79"/>
  <c r="AH79"/>
  <c r="AF79"/>
  <c r="AD79"/>
  <c r="AB79"/>
  <c r="Z79"/>
  <c r="Y79"/>
  <c r="F79"/>
  <c r="E79"/>
  <c r="D79"/>
  <c r="C79"/>
  <c r="AI78"/>
  <c r="AD78"/>
  <c r="AB78"/>
  <c r="Z78"/>
  <c r="Y78"/>
  <c r="X78"/>
  <c r="V78"/>
  <c r="T78"/>
  <c r="R78"/>
  <c r="P78"/>
  <c r="N78"/>
  <c r="M78"/>
  <c r="L78"/>
  <c r="J78"/>
  <c r="H78"/>
  <c r="F78"/>
  <c r="E78"/>
  <c r="D78"/>
  <c r="C78"/>
  <c r="AJ77"/>
  <c r="AI77"/>
  <c r="AF77"/>
  <c r="AD77"/>
  <c r="AB77"/>
  <c r="AA77"/>
  <c r="Z77"/>
  <c r="Y77"/>
  <c r="X77"/>
  <c r="V77"/>
  <c r="T77"/>
  <c r="R77"/>
  <c r="P77"/>
  <c r="N77"/>
  <c r="M77"/>
  <c r="L77"/>
  <c r="J77"/>
  <c r="H77"/>
  <c r="F77"/>
  <c r="E77"/>
  <c r="D77"/>
  <c r="C77"/>
  <c r="AJ76"/>
  <c r="Y76"/>
  <c r="E76"/>
  <c r="D76"/>
  <c r="C76"/>
  <c r="D73"/>
  <c r="C73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AJ64"/>
  <c r="AI64"/>
  <c r="AL64" s="1"/>
  <c r="AH64"/>
  <c r="AG64"/>
  <c r="AK64" s="1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I63"/>
  <c r="I80" s="1"/>
  <c r="G63"/>
  <c r="G80" s="1"/>
  <c r="AC62"/>
  <c r="AE61"/>
  <c r="AE60"/>
  <c r="AC60"/>
  <c r="AF59"/>
  <c r="AF76" s="1"/>
  <c r="AE59"/>
  <c r="AD59"/>
  <c r="AD76" s="1"/>
  <c r="AC59"/>
  <c r="AB59"/>
  <c r="AA59"/>
  <c r="X59"/>
  <c r="W59"/>
  <c r="V59"/>
  <c r="U59"/>
  <c r="T59"/>
  <c r="T76" s="1"/>
  <c r="S59"/>
  <c r="P59"/>
  <c r="O59"/>
  <c r="L59"/>
  <c r="L76" s="1"/>
  <c r="K59"/>
  <c r="J59"/>
  <c r="J76" s="1"/>
  <c r="I59"/>
  <c r="H59"/>
  <c r="G59"/>
  <c r="F59"/>
  <c r="AJ57"/>
  <c r="AI57"/>
  <c r="AL57" s="1"/>
  <c r="AH57"/>
  <c r="AG57"/>
  <c r="AK57" s="1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B50"/>
  <c r="AA50"/>
  <c r="Z50"/>
  <c r="AL50" s="1"/>
  <c r="Y50"/>
  <c r="AK50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I79"/>
  <c r="AG79"/>
  <c r="AE48"/>
  <c r="AE79" s="1"/>
  <c r="AC48"/>
  <c r="AC79" s="1"/>
  <c r="AA48"/>
  <c r="W48"/>
  <c r="Q48"/>
  <c r="P48"/>
  <c r="O48"/>
  <c r="L48"/>
  <c r="K48"/>
  <c r="J48"/>
  <c r="I48"/>
  <c r="H48"/>
  <c r="G48"/>
  <c r="AE47"/>
  <c r="AC47"/>
  <c r="AA47"/>
  <c r="AE46"/>
  <c r="AC46"/>
  <c r="AE45"/>
  <c r="AC45"/>
  <c r="AA45"/>
  <c r="Z45"/>
  <c r="Z76" s="1"/>
  <c r="W45"/>
  <c r="U45"/>
  <c r="S45"/>
  <c r="P45"/>
  <c r="P76" s="1"/>
  <c r="O45"/>
  <c r="N45"/>
  <c r="N76" s="1"/>
  <c r="M45"/>
  <c r="K45"/>
  <c r="I45"/>
  <c r="H45"/>
  <c r="H76" s="1"/>
  <c r="G45"/>
  <c r="AJ43"/>
  <c r="AI43"/>
  <c r="AL43" s="1"/>
  <c r="AH43"/>
  <c r="AG43"/>
  <c r="AK43" s="1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G42"/>
  <c r="AE42"/>
  <c r="W41"/>
  <c r="O41"/>
  <c r="AG36"/>
  <c r="AK36" s="1"/>
  <c r="AF40"/>
  <c r="AF78" s="1"/>
  <c r="AE40"/>
  <c r="AC40"/>
  <c r="AA40"/>
  <c r="AA78" s="1"/>
  <c r="W40"/>
  <c r="W78" s="1"/>
  <c r="U40"/>
  <c r="U78" s="1"/>
  <c r="S40"/>
  <c r="S78" s="1"/>
  <c r="Q40"/>
  <c r="Q78" s="1"/>
  <c r="O40"/>
  <c r="O78" s="1"/>
  <c r="K40"/>
  <c r="K78" s="1"/>
  <c r="I40"/>
  <c r="I78" s="1"/>
  <c r="G40"/>
  <c r="G78" s="1"/>
  <c r="AE39"/>
  <c r="AC39"/>
  <c r="W39"/>
  <c r="W77" s="1"/>
  <c r="U39"/>
  <c r="U77" s="1"/>
  <c r="S39"/>
  <c r="S77" s="1"/>
  <c r="Q39"/>
  <c r="Q77" s="1"/>
  <c r="O39"/>
  <c r="O77" s="1"/>
  <c r="K39"/>
  <c r="K77" s="1"/>
  <c r="I39"/>
  <c r="I77" s="1"/>
  <c r="G39"/>
  <c r="G77" s="1"/>
  <c r="AE38"/>
  <c r="AC38"/>
  <c r="AA38"/>
  <c r="W38"/>
  <c r="V38"/>
  <c r="U38"/>
  <c r="S38"/>
  <c r="Q38"/>
  <c r="O38"/>
  <c r="M38"/>
  <c r="K38"/>
  <c r="I38"/>
  <c r="G38"/>
  <c r="AI36"/>
  <c r="AL36" s="1"/>
  <c r="AH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J29"/>
  <c r="AI29"/>
  <c r="AL29" s="1"/>
  <c r="AH29"/>
  <c r="AG29"/>
  <c r="AK29" s="1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G80"/>
  <c r="AE28"/>
  <c r="AE80" s="1"/>
  <c r="AC28"/>
  <c r="AC80" s="1"/>
  <c r="AA28"/>
  <c r="AA80" s="1"/>
  <c r="AA27"/>
  <c r="AA79" s="1"/>
  <c r="X27"/>
  <c r="X79" s="1"/>
  <c r="W27"/>
  <c r="W79" s="1"/>
  <c r="V27"/>
  <c r="V79" s="1"/>
  <c r="U27"/>
  <c r="U79" s="1"/>
  <c r="T27"/>
  <c r="T79" s="1"/>
  <c r="S27"/>
  <c r="S79" s="1"/>
  <c r="R27"/>
  <c r="R79" s="1"/>
  <c r="Q27"/>
  <c r="Q79" s="1"/>
  <c r="P27"/>
  <c r="P79" s="1"/>
  <c r="O27"/>
  <c r="O79" s="1"/>
  <c r="N27"/>
  <c r="N79" s="1"/>
  <c r="M27"/>
  <c r="M79" s="1"/>
  <c r="L27"/>
  <c r="L79" s="1"/>
  <c r="K27"/>
  <c r="K79" s="1"/>
  <c r="J27"/>
  <c r="J79" s="1"/>
  <c r="I27"/>
  <c r="I79" s="1"/>
  <c r="H27"/>
  <c r="H79" s="1"/>
  <c r="G27"/>
  <c r="G79" s="1"/>
  <c r="AE26"/>
  <c r="AE78" s="1"/>
  <c r="AC26"/>
  <c r="AC78" s="1"/>
  <c r="AE25"/>
  <c r="AE77" s="1"/>
  <c r="AC25"/>
  <c r="AC77" s="1"/>
  <c r="AE24"/>
  <c r="AC24"/>
  <c r="AC76" s="1"/>
  <c r="AB24"/>
  <c r="AB76" s="1"/>
  <c r="AA24"/>
  <c r="AA76" s="1"/>
  <c r="X24"/>
  <c r="X76" s="1"/>
  <c r="W24"/>
  <c r="W76" s="1"/>
  <c r="V24"/>
  <c r="V76" s="1"/>
  <c r="U24"/>
  <c r="U76" s="1"/>
  <c r="S24"/>
  <c r="R24"/>
  <c r="R76" s="1"/>
  <c r="Q24"/>
  <c r="Q76" s="1"/>
  <c r="F24"/>
  <c r="F76" s="1"/>
  <c r="AJ22"/>
  <c r="AI22"/>
  <c r="AL22" s="1"/>
  <c r="AH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E17"/>
  <c r="AE76" s="1"/>
  <c r="S17"/>
  <c r="S76" s="1"/>
  <c r="AJ15"/>
  <c r="AH15"/>
  <c r="AG15"/>
  <c r="AK15" s="1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D75" s="1"/>
  <c r="D82" s="1"/>
  <c r="D85" s="1"/>
  <c r="C15"/>
  <c r="C75" s="1"/>
  <c r="C82" s="1"/>
  <c r="C85" s="1"/>
  <c r="F14"/>
  <c r="F80" s="1"/>
  <c r="AG77"/>
  <c r="AH76"/>
  <c r="AG76"/>
  <c r="O10"/>
  <c r="O76" s="1"/>
  <c r="M10"/>
  <c r="M76" s="1"/>
  <c r="K10"/>
  <c r="K76" s="1"/>
  <c r="I10"/>
  <c r="I76" s="1"/>
  <c r="G10"/>
  <c r="G76" s="1"/>
  <c r="AJ8"/>
  <c r="AH8"/>
  <c r="AF8"/>
  <c r="AF75" s="1"/>
  <c r="AF82" s="1"/>
  <c r="AE8"/>
  <c r="AE75" s="1"/>
  <c r="AE82" s="1"/>
  <c r="AD8"/>
  <c r="AD75" s="1"/>
  <c r="AD82" s="1"/>
  <c r="AC8"/>
  <c r="AC75" s="1"/>
  <c r="AC82" s="1"/>
  <c r="AB8"/>
  <c r="AB75" s="1"/>
  <c r="AB82" s="1"/>
  <c r="AA8"/>
  <c r="AA75" s="1"/>
  <c r="AA82" s="1"/>
  <c r="Z8"/>
  <c r="Z75" s="1"/>
  <c r="Z82" s="1"/>
  <c r="Y8"/>
  <c r="Y75" s="1"/>
  <c r="Y82" s="1"/>
  <c r="X8"/>
  <c r="X75" s="1"/>
  <c r="X82" s="1"/>
  <c r="W8"/>
  <c r="W75" s="1"/>
  <c r="W82" s="1"/>
  <c r="V8"/>
  <c r="V75" s="1"/>
  <c r="V82" s="1"/>
  <c r="U8"/>
  <c r="U75" s="1"/>
  <c r="U82" s="1"/>
  <c r="T8"/>
  <c r="T75" s="1"/>
  <c r="T82" s="1"/>
  <c r="S8"/>
  <c r="S75" s="1"/>
  <c r="S82" s="1"/>
  <c r="R8"/>
  <c r="R75" s="1"/>
  <c r="R82" s="1"/>
  <c r="Q8"/>
  <c r="Q75" s="1"/>
  <c r="Q82" s="1"/>
  <c r="P8"/>
  <c r="P75" s="1"/>
  <c r="P82" s="1"/>
  <c r="O8"/>
  <c r="O75" s="1"/>
  <c r="O82" s="1"/>
  <c r="N8"/>
  <c r="N75" s="1"/>
  <c r="N82" s="1"/>
  <c r="M8"/>
  <c r="M75" s="1"/>
  <c r="M82" s="1"/>
  <c r="L8"/>
  <c r="L75" s="1"/>
  <c r="L82" s="1"/>
  <c r="K8"/>
  <c r="K75" s="1"/>
  <c r="K82" s="1"/>
  <c r="J8"/>
  <c r="J75" s="1"/>
  <c r="J82" s="1"/>
  <c r="I8"/>
  <c r="I75" s="1"/>
  <c r="I82" s="1"/>
  <c r="H8"/>
  <c r="H75" s="1"/>
  <c r="H82" s="1"/>
  <c r="G8"/>
  <c r="G75" s="1"/>
  <c r="G82" s="1"/>
  <c r="F8"/>
  <c r="F75" s="1"/>
  <c r="F82" s="1"/>
  <c r="E8"/>
  <c r="E75" s="1"/>
  <c r="E82" s="1"/>
  <c r="AJ36" l="1"/>
  <c r="AJ75" s="1"/>
  <c r="AJ82" s="1"/>
  <c r="AH75"/>
  <c r="AH82" s="1"/>
  <c r="AI76"/>
  <c r="AG78"/>
  <c r="AG22"/>
  <c r="AK22" s="1"/>
  <c r="AH77"/>
  <c r="AH78"/>
  <c r="AH80"/>
  <c r="AG8"/>
  <c r="AI8"/>
  <c r="AG75" l="1"/>
  <c r="AK8"/>
  <c r="AI75"/>
  <c r="AL8"/>
  <c r="AI82" l="1"/>
  <c r="AL82" s="1"/>
  <c r="AL75"/>
  <c r="AG82"/>
  <c r="AK82" s="1"/>
  <c r="AK75"/>
</calcChain>
</file>

<file path=xl/comments1.xml><?xml version="1.0" encoding="utf-8"?>
<comments xmlns="http://schemas.openxmlformats.org/spreadsheetml/2006/main">
  <authors>
    <author>Васина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<sst xmlns="http://schemas.openxmlformats.org/spreadsheetml/2006/main" count="123" uniqueCount="49">
  <si>
    <t>Учреждения</t>
  </si>
  <si>
    <t>Департамент имущества</t>
  </si>
  <si>
    <t>Департамент образования</t>
  </si>
  <si>
    <t>Департамент финансов</t>
  </si>
  <si>
    <t>Департамент АПК</t>
  </si>
  <si>
    <t>текущая</t>
  </si>
  <si>
    <t xml:space="preserve">текущая </t>
  </si>
  <si>
    <t>% роста к предыдущ. мес.</t>
  </si>
  <si>
    <t>по оплате труда</t>
  </si>
  <si>
    <t>по государственным внебюджетным фондам</t>
  </si>
  <si>
    <t>по налогам и сборам</t>
  </si>
  <si>
    <t>в том числе по поставщикам и подрядчикам</t>
  </si>
  <si>
    <t>ИТОГО</t>
  </si>
  <si>
    <t>просро-  ченная</t>
  </si>
  <si>
    <t>просро- ченная</t>
  </si>
  <si>
    <t>МУ"Контрольно-счетная палата"</t>
  </si>
  <si>
    <t xml:space="preserve">по прочим кредитор. </t>
  </si>
  <si>
    <t>Департамент культуры      (в т.ч. Галактика , Берега)</t>
  </si>
  <si>
    <t xml:space="preserve">Департамент ЖКХ             (в т.ч. ОСКР)     </t>
  </si>
  <si>
    <t>Департамент труда           (в т.ч. Милосердие)</t>
  </si>
  <si>
    <t>Муниципальный долг</t>
  </si>
  <si>
    <t>ВСЕГО</t>
  </si>
  <si>
    <t>Справочно:</t>
  </si>
  <si>
    <t xml:space="preserve">Свод по кредиторской задолженности </t>
  </si>
  <si>
    <t>ЦРБ, КРБ</t>
  </si>
  <si>
    <t>Сельские территории</t>
  </si>
  <si>
    <t>Задолженность по предпринимательской деятельности на 01.01.2012</t>
  </si>
  <si>
    <t>Задолженность по бюджету на 01.01.2012</t>
  </si>
  <si>
    <t>01.01.2012</t>
  </si>
  <si>
    <t>01.01.2013</t>
  </si>
  <si>
    <t>01.02.2013</t>
  </si>
  <si>
    <t>01.03.2013</t>
  </si>
  <si>
    <t>01.04.2013</t>
  </si>
  <si>
    <t>01.05.2013</t>
  </si>
  <si>
    <t>01.06.2013</t>
  </si>
  <si>
    <t>01.07.2013</t>
  </si>
  <si>
    <t>01.08.2013</t>
  </si>
  <si>
    <t>01.09.2013</t>
  </si>
  <si>
    <t>01.10.2013</t>
  </si>
  <si>
    <t>01.01.2014</t>
  </si>
  <si>
    <t xml:space="preserve">В том числе по муниципальному заданию </t>
  </si>
  <si>
    <t>01.01.2015</t>
  </si>
  <si>
    <t>01.01.2016</t>
  </si>
  <si>
    <t xml:space="preserve"> </t>
  </si>
  <si>
    <t>просро-ченная</t>
  </si>
  <si>
    <t xml:space="preserve">в том числе за счет средств обл.бюджета </t>
  </si>
  <si>
    <t>текущая всего</t>
  </si>
  <si>
    <t>просро-ченная всего</t>
  </si>
  <si>
    <t>Администрация         (в т.ч Агенство)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</si>
</sst>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10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/>
    <xf numFmtId="4" fontId="0" fillId="0" borderId="9" xfId="0" applyNumberFormat="1" applyBorder="1"/>
    <xf numFmtId="4" fontId="1" fillId="0" borderId="9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" fontId="0" fillId="0" borderId="10" xfId="0" applyNumberForma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center" wrapText="1"/>
    </xf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left" wrapText="1"/>
    </xf>
    <xf numFmtId="4" fontId="5" fillId="0" borderId="9" xfId="0" applyNumberFormat="1" applyFont="1" applyBorder="1"/>
    <xf numFmtId="4" fontId="8" fillId="0" borderId="9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center" wrapText="1"/>
    </xf>
    <xf numFmtId="4" fontId="6" fillId="0" borderId="9" xfId="0" applyNumberFormat="1" applyFont="1" applyBorder="1"/>
    <xf numFmtId="4" fontId="8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8" fillId="0" borderId="9" xfId="0" applyNumberFormat="1" applyFont="1" applyBorder="1"/>
    <xf numFmtId="4" fontId="7" fillId="0" borderId="9" xfId="0" applyNumberFormat="1" applyFont="1" applyBorder="1"/>
    <xf numFmtId="4" fontId="0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 wrapText="1"/>
    </xf>
    <xf numFmtId="0" fontId="5" fillId="0" borderId="10" xfId="0" applyFont="1" applyBorder="1"/>
    <xf numFmtId="4" fontId="5" fillId="0" borderId="10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/>
    <xf numFmtId="164" fontId="1" fillId="0" borderId="9" xfId="0" applyNumberFormat="1" applyFont="1" applyBorder="1" applyAlignment="1"/>
    <xf numFmtId="4" fontId="0" fillId="0" borderId="9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right"/>
    </xf>
    <xf numFmtId="0" fontId="0" fillId="0" borderId="10" xfId="0" applyBorder="1"/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0" fontId="8" fillId="0" borderId="10" xfId="0" applyFont="1" applyBorder="1"/>
    <xf numFmtId="4" fontId="7" fillId="0" borderId="11" xfId="0" applyNumberFormat="1" applyFont="1" applyBorder="1" applyAlignment="1">
      <alignment horizontal="right" wrapText="1"/>
    </xf>
    <xf numFmtId="0" fontId="0" fillId="0" borderId="3" xfId="0" applyBorder="1"/>
    <xf numFmtId="0" fontId="1" fillId="0" borderId="6" xfId="0" applyFont="1" applyBorder="1" applyAlignment="1">
      <alignment wrapText="1"/>
    </xf>
    <xf numFmtId="0" fontId="7" fillId="0" borderId="10" xfId="0" applyFont="1" applyBorder="1"/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14" fontId="0" fillId="0" borderId="8" xfId="0" applyNumberFormat="1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6"/>
  <sheetViews>
    <sheetView tabSelected="1" workbookViewId="0">
      <selection activeCell="AH47" sqref="AH47"/>
    </sheetView>
  </sheetViews>
  <sheetFormatPr defaultRowHeight="14.4"/>
  <cols>
    <col min="2" max="2" width="10.88671875" customWidth="1"/>
    <col min="3" max="3" width="13.6640625" hidden="1" customWidth="1"/>
    <col min="4" max="4" width="12.6640625" hidden="1" customWidth="1"/>
    <col min="5" max="5" width="14" hidden="1" customWidth="1"/>
    <col min="6" max="6" width="12.33203125" hidden="1" customWidth="1"/>
    <col min="7" max="7" width="12.5546875" hidden="1" customWidth="1"/>
    <col min="8" max="8" width="12.6640625" hidden="1" customWidth="1"/>
    <col min="9" max="9" width="14.109375" hidden="1" customWidth="1"/>
    <col min="10" max="10" width="14" hidden="1" customWidth="1"/>
    <col min="11" max="11" width="12.6640625" hidden="1" customWidth="1"/>
    <col min="12" max="12" width="13.88671875" hidden="1" customWidth="1"/>
    <col min="13" max="13" width="15.109375" hidden="1" customWidth="1"/>
    <col min="14" max="14" width="13.6640625" hidden="1" customWidth="1"/>
    <col min="15" max="15" width="13.109375" hidden="1" customWidth="1"/>
    <col min="16" max="16" width="13.88671875" hidden="1" customWidth="1"/>
    <col min="17" max="17" width="14.33203125" hidden="1" customWidth="1"/>
    <col min="18" max="18" width="14.44140625" hidden="1" customWidth="1"/>
    <col min="19" max="19" width="15" hidden="1" customWidth="1"/>
    <col min="20" max="20" width="13.33203125" hidden="1" customWidth="1"/>
    <col min="21" max="21" width="16" hidden="1" customWidth="1"/>
    <col min="22" max="22" width="13.109375" hidden="1" customWidth="1"/>
    <col min="23" max="23" width="13.33203125" hidden="1" customWidth="1"/>
    <col min="24" max="24" width="14.109375" hidden="1" customWidth="1"/>
    <col min="25" max="25" width="14.33203125" customWidth="1"/>
    <col min="26" max="27" width="13.33203125" customWidth="1"/>
    <col min="28" max="28" width="13.109375" customWidth="1"/>
    <col min="29" max="29" width="13.44140625" customWidth="1"/>
    <col min="30" max="30" width="12.5546875" customWidth="1"/>
    <col min="31" max="31" width="13.33203125" customWidth="1"/>
    <col min="32" max="36" width="14" customWidth="1"/>
    <col min="38" max="38" width="11.5546875" customWidth="1"/>
  </cols>
  <sheetData>
    <row r="1" spans="1:38" ht="13.2" customHeight="1"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8" ht="13.8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8" ht="12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8" ht="12.6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8" ht="8.4" customHeight="1">
      <c r="A5" s="42" t="s">
        <v>0</v>
      </c>
      <c r="B5" s="43"/>
      <c r="C5" s="34" t="s">
        <v>28</v>
      </c>
      <c r="D5" s="35"/>
      <c r="E5" s="34" t="s">
        <v>29</v>
      </c>
      <c r="F5" s="35"/>
      <c r="G5" s="34" t="s">
        <v>30</v>
      </c>
      <c r="H5" s="35"/>
      <c r="I5" s="34" t="s">
        <v>31</v>
      </c>
      <c r="J5" s="35"/>
      <c r="K5" s="34" t="s">
        <v>32</v>
      </c>
      <c r="L5" s="35"/>
      <c r="M5" s="34" t="s">
        <v>33</v>
      </c>
      <c r="N5" s="35"/>
      <c r="O5" s="34" t="s">
        <v>34</v>
      </c>
      <c r="P5" s="35"/>
      <c r="Q5" s="34" t="s">
        <v>35</v>
      </c>
      <c r="R5" s="35"/>
      <c r="S5" s="34" t="s">
        <v>36</v>
      </c>
      <c r="T5" s="35"/>
      <c r="U5" s="34" t="s">
        <v>37</v>
      </c>
      <c r="V5" s="35"/>
      <c r="W5" s="34" t="s">
        <v>38</v>
      </c>
      <c r="X5" s="35"/>
      <c r="Y5" s="34" t="s">
        <v>39</v>
      </c>
      <c r="Z5" s="35"/>
      <c r="AA5" s="34" t="s">
        <v>41</v>
      </c>
      <c r="AB5" s="35"/>
      <c r="AC5" s="34" t="s">
        <v>42</v>
      </c>
      <c r="AD5" s="49"/>
      <c r="AE5" s="48">
        <v>42736</v>
      </c>
      <c r="AF5" s="49"/>
      <c r="AG5" s="48">
        <v>43101</v>
      </c>
      <c r="AH5" s="79"/>
      <c r="AI5" s="79"/>
      <c r="AJ5" s="80"/>
      <c r="AK5" s="52" t="s">
        <v>7</v>
      </c>
      <c r="AL5" s="53"/>
    </row>
    <row r="6" spans="1:38" ht="19.95" customHeight="1">
      <c r="A6" s="44"/>
      <c r="B6" s="45"/>
      <c r="C6" s="36"/>
      <c r="D6" s="37"/>
      <c r="E6" s="36"/>
      <c r="F6" s="37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  <c r="Y6" s="36"/>
      <c r="Z6" s="37"/>
      <c r="AA6" s="36"/>
      <c r="AB6" s="37"/>
      <c r="AC6" s="50"/>
      <c r="AD6" s="51"/>
      <c r="AE6" s="50"/>
      <c r="AF6" s="51"/>
      <c r="AG6" s="81"/>
      <c r="AH6" s="82"/>
      <c r="AI6" s="82"/>
      <c r="AJ6" s="83"/>
      <c r="AK6" s="54"/>
      <c r="AL6" s="55"/>
    </row>
    <row r="7" spans="1:38" ht="43.2" customHeight="1">
      <c r="A7" s="46"/>
      <c r="B7" s="47"/>
      <c r="C7" s="14" t="s">
        <v>5</v>
      </c>
      <c r="D7" s="14" t="s">
        <v>13</v>
      </c>
      <c r="E7" s="14" t="s">
        <v>5</v>
      </c>
      <c r="F7" s="14" t="s">
        <v>13</v>
      </c>
      <c r="G7" s="14" t="s">
        <v>5</v>
      </c>
      <c r="H7" s="14" t="s">
        <v>13</v>
      </c>
      <c r="I7" s="14" t="s">
        <v>5</v>
      </c>
      <c r="J7" s="14" t="s">
        <v>13</v>
      </c>
      <c r="K7" s="14" t="s">
        <v>5</v>
      </c>
      <c r="L7" s="14" t="s">
        <v>13</v>
      </c>
      <c r="M7" s="14" t="s">
        <v>5</v>
      </c>
      <c r="N7" s="14" t="s">
        <v>13</v>
      </c>
      <c r="O7" s="14" t="s">
        <v>5</v>
      </c>
      <c r="P7" s="14" t="s">
        <v>13</v>
      </c>
      <c r="Q7" s="14" t="s">
        <v>5</v>
      </c>
      <c r="R7" s="14" t="s">
        <v>13</v>
      </c>
      <c r="S7" s="14" t="s">
        <v>5</v>
      </c>
      <c r="T7" s="14" t="s">
        <v>13</v>
      </c>
      <c r="U7" s="14" t="s">
        <v>5</v>
      </c>
      <c r="V7" s="14" t="s">
        <v>13</v>
      </c>
      <c r="W7" s="14" t="s">
        <v>5</v>
      </c>
      <c r="X7" s="14" t="s">
        <v>13</v>
      </c>
      <c r="Y7" s="14" t="s">
        <v>5</v>
      </c>
      <c r="Z7" s="14" t="s">
        <v>13</v>
      </c>
      <c r="AA7" s="14" t="s">
        <v>5</v>
      </c>
      <c r="AB7" s="14" t="s">
        <v>13</v>
      </c>
      <c r="AC7" s="20" t="s">
        <v>5</v>
      </c>
      <c r="AD7" s="14" t="s">
        <v>44</v>
      </c>
      <c r="AE7" s="27" t="s">
        <v>5</v>
      </c>
      <c r="AF7" s="27" t="s">
        <v>44</v>
      </c>
      <c r="AG7" s="27" t="s">
        <v>46</v>
      </c>
      <c r="AH7" s="27" t="s">
        <v>45</v>
      </c>
      <c r="AI7" s="27" t="s">
        <v>47</v>
      </c>
      <c r="AJ7" s="27" t="s">
        <v>45</v>
      </c>
      <c r="AK7" s="14" t="s">
        <v>6</v>
      </c>
      <c r="AL7" s="14" t="s">
        <v>14</v>
      </c>
    </row>
    <row r="8" spans="1:38">
      <c r="A8" s="61" t="s">
        <v>48</v>
      </c>
      <c r="B8" s="62"/>
      <c r="C8" s="38">
        <v>4339281.38</v>
      </c>
      <c r="D8" s="38">
        <v>301680.46000000002</v>
      </c>
      <c r="E8" s="38">
        <f t="shared" ref="E8:AF8" si="0">SUM(E10:E14)</f>
        <v>1585306.45</v>
      </c>
      <c r="F8" s="38">
        <f t="shared" si="0"/>
        <v>1801203.7999999998</v>
      </c>
      <c r="G8" s="38">
        <f t="shared" si="0"/>
        <v>1880710.93</v>
      </c>
      <c r="H8" s="38">
        <f t="shared" si="0"/>
        <v>1726285.8</v>
      </c>
      <c r="I8" s="38">
        <f t="shared" si="0"/>
        <v>2043940.37</v>
      </c>
      <c r="J8" s="38">
        <f t="shared" si="0"/>
        <v>1726285.8</v>
      </c>
      <c r="K8" s="38">
        <f t="shared" si="0"/>
        <v>1800545.93</v>
      </c>
      <c r="L8" s="38">
        <f t="shared" si="0"/>
        <v>1726285.8</v>
      </c>
      <c r="M8" s="38">
        <f t="shared" si="0"/>
        <v>1791783.17</v>
      </c>
      <c r="N8" s="38">
        <f t="shared" si="0"/>
        <v>1726285.8</v>
      </c>
      <c r="O8" s="38">
        <f t="shared" si="0"/>
        <v>1777486.53</v>
      </c>
      <c r="P8" s="38">
        <f t="shared" si="0"/>
        <v>1726285.8</v>
      </c>
      <c r="Q8" s="38">
        <f t="shared" si="0"/>
        <v>1764579</v>
      </c>
      <c r="R8" s="38">
        <f t="shared" si="0"/>
        <v>1726285.8</v>
      </c>
      <c r="S8" s="38">
        <f t="shared" si="0"/>
        <v>1758347.09</v>
      </c>
      <c r="T8" s="38">
        <f t="shared" si="0"/>
        <v>1726285.8</v>
      </c>
      <c r="U8" s="38">
        <f t="shared" si="0"/>
        <v>1761309.72</v>
      </c>
      <c r="V8" s="38">
        <f t="shared" si="0"/>
        <v>1726285.8</v>
      </c>
      <c r="W8" s="38">
        <f t="shared" si="0"/>
        <v>1748835.28</v>
      </c>
      <c r="X8" s="38">
        <f t="shared" si="0"/>
        <v>1726285.8</v>
      </c>
      <c r="Y8" s="38">
        <f t="shared" si="0"/>
        <v>1009374.5399999999</v>
      </c>
      <c r="Z8" s="38">
        <f t="shared" si="0"/>
        <v>1126468.53</v>
      </c>
      <c r="AA8" s="38">
        <f t="shared" si="0"/>
        <v>1167033.9200000002</v>
      </c>
      <c r="AB8" s="38">
        <f t="shared" si="0"/>
        <v>1126468.53</v>
      </c>
      <c r="AC8" s="69">
        <f t="shared" si="0"/>
        <v>11386898.26</v>
      </c>
      <c r="AD8" s="69">
        <f t="shared" si="0"/>
        <v>8994676.1799999997</v>
      </c>
      <c r="AE8" s="69">
        <f t="shared" si="0"/>
        <v>3615198.68</v>
      </c>
      <c r="AF8" s="69">
        <f t="shared" si="0"/>
        <v>0</v>
      </c>
      <c r="AG8" s="75">
        <f>AG10+AG11+AG12+AG13+AG14</f>
        <v>69763522.239999995</v>
      </c>
      <c r="AH8" s="75">
        <f>AH10+AH11+AH12+AH13+AH14</f>
        <v>59169778.170000002</v>
      </c>
      <c r="AI8" s="75">
        <f>AI10+AI11+AI12+AI13+AI14</f>
        <v>22759671.91</v>
      </c>
      <c r="AJ8" s="75">
        <f>AJ10+AJ11+AJ12+AJ13+AJ14</f>
        <v>21260780.43</v>
      </c>
      <c r="AK8" s="65">
        <f>AG8/AE8-1</f>
        <v>18.297285824412835</v>
      </c>
      <c r="AL8" s="65" t="e">
        <f>AI8/AF8-1</f>
        <v>#DIV/0!</v>
      </c>
    </row>
    <row r="9" spans="1:38" ht="14.25" customHeight="1">
      <c r="A9" s="63"/>
      <c r="B9" s="6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70"/>
      <c r="AD9" s="70"/>
      <c r="AE9" s="70"/>
      <c r="AF9" s="70"/>
      <c r="AG9" s="76"/>
      <c r="AH9" s="76"/>
      <c r="AI9" s="76"/>
      <c r="AJ9" s="76"/>
      <c r="AK9" s="66"/>
      <c r="AL9" s="66"/>
    </row>
    <row r="10" spans="1:38" ht="42" customHeight="1">
      <c r="A10" s="67" t="s">
        <v>11</v>
      </c>
      <c r="B10" s="68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">
        <v>1345813.84</v>
      </c>
      <c r="AB10" s="1">
        <v>1126468.53</v>
      </c>
      <c r="AC10" s="22">
        <v>9260028.4399999995</v>
      </c>
      <c r="AD10" s="22">
        <v>8994676.1799999997</v>
      </c>
      <c r="AE10" s="22">
        <v>1203866.6499999999</v>
      </c>
      <c r="AF10" s="22"/>
      <c r="AG10" s="33">
        <f>AH10+1133485.65+5585434.3+25079.19</f>
        <v>65913777.309999995</v>
      </c>
      <c r="AH10" s="33">
        <f>4322.42+59165455.75</f>
        <v>59169778.170000002</v>
      </c>
      <c r="AI10" s="33">
        <f>AJ10+152030.6+1190679.4</f>
        <v>22603490.43</v>
      </c>
      <c r="AJ10" s="33">
        <v>21260780.43</v>
      </c>
      <c r="AK10" s="11"/>
      <c r="AL10" s="11"/>
    </row>
    <row r="11" spans="1:38" ht="17.25" customHeight="1">
      <c r="A11" s="67" t="s">
        <v>8</v>
      </c>
      <c r="B11" s="6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2">
        <v>1010215.34</v>
      </c>
      <c r="AD11" s="22"/>
      <c r="AE11" s="22">
        <v>1531012.85</v>
      </c>
      <c r="AF11" s="22"/>
      <c r="AG11" s="33">
        <f>1267592.81+745185.4</f>
        <v>2012778.21</v>
      </c>
      <c r="AH11" s="15"/>
      <c r="AI11" s="33"/>
      <c r="AJ11" s="15"/>
      <c r="AK11" s="11"/>
      <c r="AL11" s="11"/>
    </row>
    <row r="12" spans="1:38" ht="42" customHeight="1">
      <c r="A12" s="67" t="s">
        <v>9</v>
      </c>
      <c r="B12" s="6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">
        <v>-12504.65</v>
      </c>
      <c r="AB12" s="1"/>
      <c r="AC12" s="22">
        <v>1116654.48</v>
      </c>
      <c r="AD12" s="22"/>
      <c r="AE12" s="22">
        <v>880319.18</v>
      </c>
      <c r="AF12" s="22"/>
      <c r="AG12" s="33">
        <f>1547406.97+289559.75</f>
        <v>1836966.72</v>
      </c>
      <c r="AH12" s="15"/>
      <c r="AI12" s="33">
        <v>156181.48000000001</v>
      </c>
      <c r="AJ12" s="15"/>
      <c r="AK12" s="11"/>
      <c r="AL12" s="11"/>
    </row>
    <row r="13" spans="1:38" ht="14.4" customHeight="1">
      <c r="A13" s="67" t="s">
        <v>10</v>
      </c>
      <c r="B13" s="68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">
        <v>-166275.26999999999</v>
      </c>
      <c r="AB13" s="1"/>
      <c r="AC13" s="15"/>
      <c r="AD13" s="15"/>
      <c r="AE13" s="22"/>
      <c r="AF13" s="22"/>
      <c r="AG13" s="15"/>
      <c r="AH13" s="15"/>
      <c r="AI13" s="33"/>
      <c r="AJ13" s="15"/>
      <c r="AK13" s="11"/>
      <c r="AL13" s="11"/>
    </row>
    <row r="14" spans="1:38">
      <c r="A14" s="67" t="s">
        <v>16</v>
      </c>
      <c r="B14" s="68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"/>
      <c r="AB14" s="1"/>
      <c r="AC14" s="15"/>
      <c r="AD14" s="15"/>
      <c r="AE14" s="22"/>
      <c r="AF14" s="22"/>
      <c r="AG14" s="15"/>
      <c r="AH14" s="15"/>
      <c r="AI14" s="15"/>
      <c r="AJ14" s="15"/>
      <c r="AK14" s="11"/>
      <c r="AL14" s="11"/>
    </row>
    <row r="15" spans="1:38">
      <c r="A15" s="56" t="s">
        <v>1</v>
      </c>
      <c r="B15" s="57"/>
      <c r="C15" s="60">
        <f t="shared" ref="C15:D15" si="1">SUM(C17:C21)</f>
        <v>0</v>
      </c>
      <c r="D15" s="60">
        <f t="shared" si="1"/>
        <v>0</v>
      </c>
      <c r="E15" s="60">
        <f t="shared" ref="E15:AF15" si="2">SUM(E17:E21)</f>
        <v>35747.5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0</v>
      </c>
      <c r="K15" s="60">
        <f t="shared" si="2"/>
        <v>120756.41</v>
      </c>
      <c r="L15" s="60">
        <f t="shared" si="2"/>
        <v>0</v>
      </c>
      <c r="M15" s="60">
        <f t="shared" si="2"/>
        <v>144077.24</v>
      </c>
      <c r="N15" s="60">
        <f t="shared" si="2"/>
        <v>0</v>
      </c>
      <c r="O15" s="60">
        <f t="shared" si="2"/>
        <v>122267.09</v>
      </c>
      <c r="P15" s="60">
        <f t="shared" si="2"/>
        <v>0</v>
      </c>
      <c r="Q15" s="60">
        <f t="shared" si="2"/>
        <v>81760.240000000005</v>
      </c>
      <c r="R15" s="60">
        <f t="shared" si="2"/>
        <v>0</v>
      </c>
      <c r="S15" s="60">
        <f t="shared" si="2"/>
        <v>68067.33</v>
      </c>
      <c r="T15" s="60">
        <f t="shared" si="2"/>
        <v>0</v>
      </c>
      <c r="U15" s="60">
        <f t="shared" si="2"/>
        <v>61711.68</v>
      </c>
      <c r="V15" s="60">
        <f t="shared" si="2"/>
        <v>0</v>
      </c>
      <c r="W15" s="60">
        <f t="shared" si="2"/>
        <v>0</v>
      </c>
      <c r="X15" s="60">
        <f t="shared" si="2"/>
        <v>0</v>
      </c>
      <c r="Y15" s="60">
        <f t="shared" si="2"/>
        <v>217.78</v>
      </c>
      <c r="Z15" s="60">
        <f t="shared" si="2"/>
        <v>0</v>
      </c>
      <c r="AA15" s="60">
        <f>SUM(AA17:AA21)</f>
        <v>833.01</v>
      </c>
      <c r="AB15" s="60">
        <f t="shared" si="2"/>
        <v>0</v>
      </c>
      <c r="AC15" s="71">
        <f t="shared" si="2"/>
        <v>187710.37</v>
      </c>
      <c r="AD15" s="71">
        <f t="shared" si="2"/>
        <v>0</v>
      </c>
      <c r="AE15" s="71">
        <f t="shared" si="2"/>
        <v>333233.98</v>
      </c>
      <c r="AF15" s="71">
        <f t="shared" si="2"/>
        <v>0</v>
      </c>
      <c r="AG15" s="77">
        <f>AG17+AG18+AG19+AG20+AG21</f>
        <v>667959.52</v>
      </c>
      <c r="AH15" s="77">
        <f>AH17+AH18+AH19+AH20+AH21</f>
        <v>0</v>
      </c>
      <c r="AI15" s="77">
        <f>AI17+AI18+AI19+AI20+AI21</f>
        <v>94034.71</v>
      </c>
      <c r="AJ15" s="77">
        <f>AJ17+AJ18+AJ19+AJ20+AJ21</f>
        <v>0</v>
      </c>
      <c r="AK15" s="65">
        <f>AG15/AE15-1</f>
        <v>1.0044760141207689</v>
      </c>
      <c r="AL15" s="65" t="e">
        <f>AI15/AF15-1</f>
        <v>#DIV/0!</v>
      </c>
    </row>
    <row r="16" spans="1:38" ht="12.6" customHeight="1">
      <c r="A16" s="58"/>
      <c r="B16" s="5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70"/>
      <c r="AD16" s="70"/>
      <c r="AE16" s="70"/>
      <c r="AF16" s="70"/>
      <c r="AG16" s="78"/>
      <c r="AH16" s="78"/>
      <c r="AI16" s="78"/>
      <c r="AJ16" s="78"/>
      <c r="AK16" s="66"/>
      <c r="AL16" s="66"/>
    </row>
    <row r="17" spans="1:38" ht="44.25" customHeight="1">
      <c r="A17" s="67" t="s">
        <v>11</v>
      </c>
      <c r="B17" s="68"/>
      <c r="C17" s="2"/>
      <c r="D17" s="2"/>
      <c r="E17" s="2">
        <v>35747.5</v>
      </c>
      <c r="F17" s="2"/>
      <c r="G17" s="2"/>
      <c r="H17" s="2"/>
      <c r="I17" s="2"/>
      <c r="J17" s="2"/>
      <c r="K17" s="2">
        <v>120756.41</v>
      </c>
      <c r="L17" s="2"/>
      <c r="M17" s="2">
        <v>144077.24</v>
      </c>
      <c r="N17" s="2"/>
      <c r="O17" s="2">
        <v>122267.09</v>
      </c>
      <c r="P17" s="2"/>
      <c r="Q17" s="2">
        <v>67770.240000000005</v>
      </c>
      <c r="R17" s="2"/>
      <c r="S17" s="2">
        <f>65281.19+2786.14</f>
        <v>68067.33</v>
      </c>
      <c r="T17" s="2"/>
      <c r="U17" s="2">
        <v>61711.68</v>
      </c>
      <c r="V17" s="2"/>
      <c r="W17" s="2"/>
      <c r="X17" s="2"/>
      <c r="Y17" s="2">
        <v>217.78</v>
      </c>
      <c r="Z17" s="2"/>
      <c r="AA17" s="2">
        <v>833.01</v>
      </c>
      <c r="AB17" s="2"/>
      <c r="AC17" s="19">
        <v>35</v>
      </c>
      <c r="AD17" s="19"/>
      <c r="AE17" s="19">
        <f>27611.35+117602.07</f>
        <v>145213.42000000001</v>
      </c>
      <c r="AF17" s="16"/>
      <c r="AG17" s="26">
        <f>56332.86+251324.18</f>
        <v>307657.03999999998</v>
      </c>
      <c r="AH17" s="16"/>
      <c r="AI17" s="26">
        <f>3600+90434.71</f>
        <v>94034.71</v>
      </c>
      <c r="AJ17" s="26"/>
      <c r="AK17" s="14"/>
      <c r="AL17" s="14"/>
    </row>
    <row r="18" spans="1:38">
      <c r="A18" s="67" t="s">
        <v>8</v>
      </c>
      <c r="B18" s="6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9">
        <v>172262.37</v>
      </c>
      <c r="AD18" s="19"/>
      <c r="AE18" s="19">
        <v>188020.56</v>
      </c>
      <c r="AF18" s="16"/>
      <c r="AG18" s="26">
        <v>225161</v>
      </c>
      <c r="AH18" s="16"/>
      <c r="AI18" s="16"/>
      <c r="AJ18" s="16"/>
      <c r="AK18" s="14"/>
      <c r="AL18" s="14"/>
    </row>
    <row r="19" spans="1:38" ht="43.5" customHeight="1">
      <c r="A19" s="67" t="s">
        <v>9</v>
      </c>
      <c r="B19" s="6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9"/>
      <c r="AD19" s="19"/>
      <c r="AE19" s="16"/>
      <c r="AF19" s="16"/>
      <c r="AG19" s="26"/>
      <c r="AH19" s="16"/>
      <c r="AI19" s="16"/>
      <c r="AJ19" s="16"/>
      <c r="AK19" s="14"/>
      <c r="AL19" s="14"/>
    </row>
    <row r="20" spans="1:38" ht="14.4" customHeight="1">
      <c r="A20" s="67" t="s">
        <v>10</v>
      </c>
      <c r="B20" s="6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13990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9">
        <v>15413</v>
      </c>
      <c r="AD20" s="19"/>
      <c r="AE20" s="16"/>
      <c r="AF20" s="16"/>
      <c r="AG20" s="26">
        <v>135141.48000000001</v>
      </c>
      <c r="AH20" s="16"/>
      <c r="AI20" s="16"/>
      <c r="AJ20" s="16"/>
      <c r="AK20" s="14"/>
      <c r="AL20" s="14"/>
    </row>
    <row r="21" spans="1:38">
      <c r="A21" s="67" t="s">
        <v>16</v>
      </c>
      <c r="B21" s="6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9"/>
      <c r="AD21" s="19"/>
      <c r="AE21" s="16"/>
      <c r="AF21" s="16"/>
      <c r="AG21" s="16"/>
      <c r="AH21" s="16"/>
      <c r="AI21" s="16"/>
      <c r="AJ21" s="16"/>
      <c r="AK21" s="14"/>
      <c r="AL21" s="14"/>
    </row>
    <row r="22" spans="1:38">
      <c r="A22" s="56" t="s">
        <v>2</v>
      </c>
      <c r="B22" s="57"/>
      <c r="C22" s="60">
        <v>54846675.530000001</v>
      </c>
      <c r="D22" s="60">
        <v>48940486.590000004</v>
      </c>
      <c r="E22" s="60">
        <f t="shared" ref="E22" si="3">SUM(E24:E28)</f>
        <v>64656891.350000001</v>
      </c>
      <c r="F22" s="60">
        <f>SUM(F24:F28)</f>
        <v>51440732.669999994</v>
      </c>
      <c r="G22" s="60">
        <f t="shared" ref="G22:AF22" si="4">SUM(G24:G28)</f>
        <v>69207433.140000001</v>
      </c>
      <c r="H22" s="60">
        <f t="shared" si="4"/>
        <v>50454846.649999999</v>
      </c>
      <c r="I22" s="60">
        <f t="shared" si="4"/>
        <v>70742852.230000004</v>
      </c>
      <c r="J22" s="60">
        <f t="shared" si="4"/>
        <v>55024116.890000001</v>
      </c>
      <c r="K22" s="60">
        <f t="shared" si="4"/>
        <v>70605066.099999994</v>
      </c>
      <c r="L22" s="60">
        <f t="shared" si="4"/>
        <v>57943952.730000004</v>
      </c>
      <c r="M22" s="60">
        <f t="shared" si="4"/>
        <v>73371785.549999997</v>
      </c>
      <c r="N22" s="60">
        <f t="shared" si="4"/>
        <v>57519633.82</v>
      </c>
      <c r="O22" s="60">
        <f t="shared" si="4"/>
        <v>69857012.25</v>
      </c>
      <c r="P22" s="60">
        <f t="shared" si="4"/>
        <v>65548817.789999999</v>
      </c>
      <c r="Q22" s="60">
        <f t="shared" si="4"/>
        <v>71509757.569999993</v>
      </c>
      <c r="R22" s="60">
        <f t="shared" si="4"/>
        <v>57862859.439999998</v>
      </c>
      <c r="S22" s="60">
        <f t="shared" si="4"/>
        <v>71486946.959999993</v>
      </c>
      <c r="T22" s="60">
        <f t="shared" si="4"/>
        <v>57789918.439999998</v>
      </c>
      <c r="U22" s="60">
        <f t="shared" si="4"/>
        <v>70592079.479999989</v>
      </c>
      <c r="V22" s="60">
        <f t="shared" si="4"/>
        <v>61579945.239999995</v>
      </c>
      <c r="W22" s="60">
        <f t="shared" si="4"/>
        <v>66866461.460000001</v>
      </c>
      <c r="X22" s="60">
        <f t="shared" si="4"/>
        <v>57735277.960000001</v>
      </c>
      <c r="Y22" s="60">
        <f t="shared" si="4"/>
        <v>103038065.23999999</v>
      </c>
      <c r="Z22" s="60">
        <f t="shared" si="4"/>
        <v>90836160.789999992</v>
      </c>
      <c r="AA22" s="60">
        <f t="shared" si="4"/>
        <v>72994840.390000001</v>
      </c>
      <c r="AB22" s="60">
        <f t="shared" si="4"/>
        <v>65340039.269999996</v>
      </c>
      <c r="AC22" s="71">
        <f t="shared" si="4"/>
        <v>56387437.119999997</v>
      </c>
      <c r="AD22" s="71">
        <f t="shared" si="4"/>
        <v>15533763.189999999</v>
      </c>
      <c r="AE22" s="71">
        <f t="shared" si="4"/>
        <v>119943838.53</v>
      </c>
      <c r="AF22" s="71">
        <f t="shared" si="4"/>
        <v>72448338.349999994</v>
      </c>
      <c r="AG22" s="77">
        <f>AG24+AG25+AG26+AG27+AG28</f>
        <v>98597337.969999999</v>
      </c>
      <c r="AH22" s="77">
        <f>AH24+AH25+AH26+AH27+AH28</f>
        <v>28249113.57</v>
      </c>
      <c r="AI22" s="77">
        <f>AI24+AI25+AI26+AI27+AI28</f>
        <v>52538002.529999994</v>
      </c>
      <c r="AJ22" s="77">
        <f>AJ24+AJ25+AJ26+AJ27+AJ28</f>
        <v>0</v>
      </c>
      <c r="AK22" s="65">
        <f>AG22/AE22-1</f>
        <v>-0.17797079717988917</v>
      </c>
      <c r="AL22" s="65">
        <f>AI22/AF22-1</f>
        <v>-0.27482115219554937</v>
      </c>
    </row>
    <row r="23" spans="1:38">
      <c r="A23" s="58"/>
      <c r="B23" s="5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70"/>
      <c r="AD23" s="70"/>
      <c r="AE23" s="70"/>
      <c r="AF23" s="70"/>
      <c r="AG23" s="78"/>
      <c r="AH23" s="78"/>
      <c r="AI23" s="78"/>
      <c r="AJ23" s="78"/>
      <c r="AK23" s="66"/>
      <c r="AL23" s="66"/>
    </row>
    <row r="24" spans="1:38" ht="41.25" customHeight="1">
      <c r="A24" s="67" t="s">
        <v>11</v>
      </c>
      <c r="B24" s="68"/>
      <c r="C24" s="2"/>
      <c r="D24" s="2"/>
      <c r="E24" s="2">
        <v>10110055.9</v>
      </c>
      <c r="F24" s="2">
        <f>51442088.62-49312861.59</f>
        <v>2129227.0299999937</v>
      </c>
      <c r="G24" s="2">
        <v>10146692.35</v>
      </c>
      <c r="H24" s="2">
        <v>2129227.0299999998</v>
      </c>
      <c r="I24" s="2">
        <v>14616479.76</v>
      </c>
      <c r="J24" s="2">
        <v>2129227.0299999998</v>
      </c>
      <c r="K24" s="2">
        <v>7843217.96</v>
      </c>
      <c r="L24" s="2">
        <v>2129227.0299999998</v>
      </c>
      <c r="M24" s="2">
        <v>7533070</v>
      </c>
      <c r="N24" s="2">
        <v>2129227.0299999998</v>
      </c>
      <c r="O24" s="2">
        <v>6652443.1100000003</v>
      </c>
      <c r="P24" s="2">
        <v>2344248.65</v>
      </c>
      <c r="Q24" s="2">
        <f>8677372.77+42645.25</f>
        <v>8720018.0199999996</v>
      </c>
      <c r="R24" s="2">
        <f>2344248.65</f>
        <v>2344248.65</v>
      </c>
      <c r="S24" s="2">
        <f>69747.65+9218096.72</f>
        <v>9287844.370000001</v>
      </c>
      <c r="T24" s="2">
        <v>2271307.65</v>
      </c>
      <c r="U24" s="2">
        <f>94170.06+10964271.83</f>
        <v>11058441.890000001</v>
      </c>
      <c r="V24" s="2">
        <f>2046307.65</f>
        <v>2046307.65</v>
      </c>
      <c r="W24" s="2">
        <f>11194823.81+98358.34</f>
        <v>11293182.15</v>
      </c>
      <c r="X24" s="2">
        <f>2161998.65</f>
        <v>2161998.65</v>
      </c>
      <c r="Y24" s="2">
        <v>13594212.15</v>
      </c>
      <c r="Z24" s="2">
        <v>4751435.4800000004</v>
      </c>
      <c r="AA24" s="2">
        <f>80709.31+7457152.01</f>
        <v>7537861.3199999994</v>
      </c>
      <c r="AB24" s="2">
        <f>460470.79</f>
        <v>460470.79</v>
      </c>
      <c r="AC24" s="19">
        <f>77325.12+12375433.35</f>
        <v>12452758.469999999</v>
      </c>
      <c r="AD24" s="19">
        <v>1634678.03</v>
      </c>
      <c r="AE24" s="19">
        <f>263374.33+25371454.14</f>
        <v>25634828.469999999</v>
      </c>
      <c r="AF24" s="19">
        <v>7111498.0199999996</v>
      </c>
      <c r="AG24" s="26">
        <f>361338.29+22200823.79</f>
        <v>22562162.079999998</v>
      </c>
      <c r="AH24" s="26">
        <v>1203080.3799999999</v>
      </c>
      <c r="AI24" s="26">
        <f>223320.42+7979287.52</f>
        <v>8202607.9399999995</v>
      </c>
      <c r="AJ24" s="16"/>
      <c r="AK24" s="14"/>
      <c r="AL24" s="14"/>
    </row>
    <row r="25" spans="1:38" ht="15" customHeight="1">
      <c r="A25" s="67" t="s">
        <v>8</v>
      </c>
      <c r="B25" s="6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9">
        <f>774524.11+20097533.72</f>
        <v>20872057.829999998</v>
      </c>
      <c r="AD25" s="19"/>
      <c r="AE25" s="19">
        <f>815882.11+24539657.77</f>
        <v>25355539.879999999</v>
      </c>
      <c r="AF25" s="19"/>
      <c r="AG25" s="26">
        <f>826423.25+23317982.32</f>
        <v>24144405.57</v>
      </c>
      <c r="AH25" s="26">
        <v>16922780.550000001</v>
      </c>
      <c r="AI25" s="26"/>
      <c r="AJ25" s="16"/>
      <c r="AK25" s="14"/>
      <c r="AL25" s="14"/>
    </row>
    <row r="26" spans="1:38" ht="41.4" customHeight="1">
      <c r="A26" s="67" t="s">
        <v>9</v>
      </c>
      <c r="B26" s="68"/>
      <c r="C26" s="2"/>
      <c r="D26" s="2"/>
      <c r="E26" s="2">
        <v>4317281.3899999997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3356790.95</v>
      </c>
      <c r="Z26" s="2"/>
      <c r="AA26" s="2">
        <v>162.02000000000001</v>
      </c>
      <c r="AB26" s="2"/>
      <c r="AC26" s="19">
        <f>511757.59+6814505.62</f>
        <v>7326263.21</v>
      </c>
      <c r="AD26" s="19"/>
      <c r="AE26" s="19">
        <f>484038.54+11956133.92</f>
        <v>12440172.459999999</v>
      </c>
      <c r="AF26" s="19">
        <v>10626588</v>
      </c>
      <c r="AG26" s="26">
        <f>871920.5+16450579.56</f>
        <v>17322500.060000002</v>
      </c>
      <c r="AH26" s="26">
        <v>10123252.640000001</v>
      </c>
      <c r="AI26" s="26">
        <f>353493.68+11501508.54</f>
        <v>11855002.219999999</v>
      </c>
      <c r="AJ26" s="16"/>
      <c r="AK26" s="14"/>
      <c r="AL26" s="14"/>
    </row>
    <row r="27" spans="1:38" ht="22.8" customHeight="1">
      <c r="A27" s="67" t="s">
        <v>10</v>
      </c>
      <c r="B27" s="68"/>
      <c r="C27" s="2"/>
      <c r="D27" s="2"/>
      <c r="E27" s="2">
        <v>50229554.060000002</v>
      </c>
      <c r="F27" s="2">
        <v>49311505.640000001</v>
      </c>
      <c r="G27" s="2">
        <f>54914409.14+4146331.65</f>
        <v>59060740.789999999</v>
      </c>
      <c r="H27" s="2">
        <f>4092516+44233103.62</f>
        <v>48325619.619999997</v>
      </c>
      <c r="I27" s="2">
        <f>4125519+52000853.47</f>
        <v>56126372.469999999</v>
      </c>
      <c r="J27" s="2">
        <f>4092516+48802373.86</f>
        <v>52894889.859999999</v>
      </c>
      <c r="K27" s="2">
        <f>4106722+58655126.14</f>
        <v>62761848.140000001</v>
      </c>
      <c r="L27" s="2">
        <f>4092516+51722209.7</f>
        <v>55814725.700000003</v>
      </c>
      <c r="M27" s="2">
        <f>3726327.65+62112387.9</f>
        <v>65838715.549999997</v>
      </c>
      <c r="N27" s="2">
        <f>51679075.14+3711331.65</f>
        <v>55390406.789999999</v>
      </c>
      <c r="O27" s="2">
        <f>3292052+59912517.14</f>
        <v>63204569.140000001</v>
      </c>
      <c r="P27" s="2">
        <f>3292052+59912517.14</f>
        <v>63204569.140000001</v>
      </c>
      <c r="Q27" s="2">
        <f>59493077.9+3296661.65</f>
        <v>62789739.549999997</v>
      </c>
      <c r="R27" s="2">
        <f>3296661.65+52221949.14</f>
        <v>55518610.789999999</v>
      </c>
      <c r="S27" s="2">
        <f>58887656.94+3311445.65</f>
        <v>62199102.589999996</v>
      </c>
      <c r="T27" s="2">
        <f>3296661.65+52221949.14</f>
        <v>55518610.789999999</v>
      </c>
      <c r="U27" s="2">
        <f>56222191.94+3311445.65</f>
        <v>59533637.589999996</v>
      </c>
      <c r="V27" s="2">
        <f>3311445.65+56222191.94</f>
        <v>59533637.589999996</v>
      </c>
      <c r="W27" s="2">
        <f>1281078.35+54292200.96</f>
        <v>55573279.310000002</v>
      </c>
      <c r="X27" s="2">
        <f>54292200.96+1281078.35</f>
        <v>55573279.310000002</v>
      </c>
      <c r="Y27" s="2">
        <v>55305512.479999997</v>
      </c>
      <c r="Z27" s="2">
        <v>55305512.479999997</v>
      </c>
      <c r="AA27" s="2">
        <f>38710647.01</f>
        <v>38710647.009999998</v>
      </c>
      <c r="AB27" s="2">
        <v>38710647.009999998</v>
      </c>
      <c r="AC27" s="19">
        <v>12430432.640000001</v>
      </c>
      <c r="AD27" s="19">
        <v>12430432.640000001</v>
      </c>
      <c r="AE27" s="19">
        <v>19001954.52</v>
      </c>
      <c r="AF27" s="19">
        <v>19001954.52</v>
      </c>
      <c r="AG27" s="26">
        <f>8958+7347927.08</f>
        <v>7356885.0800000001</v>
      </c>
      <c r="AH27" s="16"/>
      <c r="AI27" s="26">
        <f>8958+6907494.08</f>
        <v>6916452.0800000001</v>
      </c>
      <c r="AJ27" s="16"/>
      <c r="AK27" s="14" t="s">
        <v>43</v>
      </c>
      <c r="AL27" s="14"/>
    </row>
    <row r="28" spans="1:38" ht="21" customHeight="1">
      <c r="A28" s="67" t="s">
        <v>16</v>
      </c>
      <c r="B28" s="6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30781549.66</v>
      </c>
      <c r="Z28" s="2">
        <v>30779212.829999998</v>
      </c>
      <c r="AA28" s="2">
        <f>7970.78+26738199.26</f>
        <v>26746170.040000003</v>
      </c>
      <c r="AB28" s="2">
        <v>26168921.469999999</v>
      </c>
      <c r="AC28" s="19">
        <f>3305399.51+525.46</f>
        <v>3305924.9699999997</v>
      </c>
      <c r="AD28" s="19">
        <v>1468652.52</v>
      </c>
      <c r="AE28" s="19">
        <f>37418429.35+92913.85</f>
        <v>37511343.200000003</v>
      </c>
      <c r="AF28" s="19">
        <v>35708297.810000002</v>
      </c>
      <c r="AG28" s="26">
        <f>27144292.69+67092.49</f>
        <v>27211385.18</v>
      </c>
      <c r="AH28" s="16"/>
      <c r="AI28" s="26">
        <v>25563940.289999999</v>
      </c>
      <c r="AJ28" s="16"/>
      <c r="AK28" s="14"/>
      <c r="AL28" s="14"/>
    </row>
    <row r="29" spans="1:38">
      <c r="A29" s="56" t="s">
        <v>3</v>
      </c>
      <c r="B29" s="57"/>
      <c r="C29" s="60">
        <v>-7680.14</v>
      </c>
      <c r="D29" s="60">
        <f t="shared" ref="D29" si="5">SUM(D31:D35)</f>
        <v>0</v>
      </c>
      <c r="E29" s="60">
        <f t="shared" ref="E29:AF29" si="6">SUM(E31:E35)</f>
        <v>0</v>
      </c>
      <c r="F29" s="60">
        <f t="shared" si="6"/>
        <v>0</v>
      </c>
      <c r="G29" s="60">
        <f t="shared" si="6"/>
        <v>114426.95</v>
      </c>
      <c r="H29" s="60">
        <f t="shared" si="6"/>
        <v>0</v>
      </c>
      <c r="I29" s="60">
        <f t="shared" si="6"/>
        <v>88290.77</v>
      </c>
      <c r="J29" s="60">
        <f t="shared" si="6"/>
        <v>0</v>
      </c>
      <c r="K29" s="60">
        <f t="shared" si="6"/>
        <v>51440.42</v>
      </c>
      <c r="L29" s="60">
        <f t="shared" si="6"/>
        <v>0</v>
      </c>
      <c r="M29" s="60">
        <f t="shared" si="6"/>
        <v>169857.58</v>
      </c>
      <c r="N29" s="60">
        <f t="shared" si="6"/>
        <v>0</v>
      </c>
      <c r="O29" s="60">
        <f t="shared" si="6"/>
        <v>77731.77</v>
      </c>
      <c r="P29" s="60">
        <f t="shared" si="6"/>
        <v>0</v>
      </c>
      <c r="Q29" s="60">
        <f t="shared" si="6"/>
        <v>55035.07</v>
      </c>
      <c r="R29" s="60">
        <f t="shared" si="6"/>
        <v>0</v>
      </c>
      <c r="S29" s="60">
        <f t="shared" si="6"/>
        <v>80513.679999999993</v>
      </c>
      <c r="T29" s="60">
        <f t="shared" si="6"/>
        <v>0</v>
      </c>
      <c r="U29" s="60">
        <f t="shared" si="6"/>
        <v>77945.259999999995</v>
      </c>
      <c r="V29" s="60">
        <f t="shared" si="6"/>
        <v>0</v>
      </c>
      <c r="W29" s="60">
        <f t="shared" si="6"/>
        <v>84064.9</v>
      </c>
      <c r="X29" s="60">
        <f t="shared" si="6"/>
        <v>0</v>
      </c>
      <c r="Y29" s="60">
        <f t="shared" si="6"/>
        <v>0</v>
      </c>
      <c r="Z29" s="60">
        <f t="shared" si="6"/>
        <v>0</v>
      </c>
      <c r="AA29" s="60">
        <f t="shared" si="6"/>
        <v>2321.35</v>
      </c>
      <c r="AB29" s="60">
        <f t="shared" si="6"/>
        <v>0</v>
      </c>
      <c r="AC29" s="71">
        <f t="shared" si="6"/>
        <v>663721.94999999995</v>
      </c>
      <c r="AD29" s="71">
        <f t="shared" si="6"/>
        <v>0</v>
      </c>
      <c r="AE29" s="71">
        <f t="shared" si="6"/>
        <v>856387.40999999992</v>
      </c>
      <c r="AF29" s="71">
        <f t="shared" si="6"/>
        <v>0</v>
      </c>
      <c r="AG29" s="77">
        <f>AG31+AG32+AG33+AG34+AG35</f>
        <v>807619</v>
      </c>
      <c r="AH29" s="77">
        <f>AH31+AH32+AH33+AH34+AH35</f>
        <v>0</v>
      </c>
      <c r="AI29" s="77">
        <f>AI31+AI32+AI33+AI34+AI35</f>
        <v>0</v>
      </c>
      <c r="AJ29" s="77">
        <f>AJ31+AJ32+AJ33+AJ34+AJ35</f>
        <v>0</v>
      </c>
      <c r="AK29" s="65">
        <f>AG29/AE29-1</f>
        <v>-5.6946668564405778E-2</v>
      </c>
      <c r="AL29" s="65" t="e">
        <f>AI29/AF29-1</f>
        <v>#DIV/0!</v>
      </c>
    </row>
    <row r="30" spans="1:38">
      <c r="A30" s="58"/>
      <c r="B30" s="5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70"/>
      <c r="AD30" s="70"/>
      <c r="AE30" s="70"/>
      <c r="AF30" s="70"/>
      <c r="AG30" s="78"/>
      <c r="AH30" s="78"/>
      <c r="AI30" s="78"/>
      <c r="AJ30" s="78"/>
      <c r="AK30" s="66"/>
      <c r="AL30" s="66"/>
    </row>
    <row r="31" spans="1:38" ht="40.950000000000003" customHeight="1">
      <c r="A31" s="67" t="s">
        <v>11</v>
      </c>
      <c r="B31" s="68"/>
      <c r="C31" s="2">
        <v>0</v>
      </c>
      <c r="D31" s="2"/>
      <c r="E31" s="2">
        <v>0</v>
      </c>
      <c r="F31" s="2"/>
      <c r="G31" s="2">
        <v>114426.95</v>
      </c>
      <c r="H31" s="2"/>
      <c r="I31" s="2">
        <v>88290.77</v>
      </c>
      <c r="J31" s="2"/>
      <c r="K31" s="2">
        <v>51440.42</v>
      </c>
      <c r="L31" s="2"/>
      <c r="M31" s="2">
        <v>169857.58</v>
      </c>
      <c r="N31" s="2"/>
      <c r="O31" s="2">
        <v>77731.77</v>
      </c>
      <c r="P31" s="2"/>
      <c r="Q31" s="2">
        <v>55035.07</v>
      </c>
      <c r="R31" s="2"/>
      <c r="S31" s="2">
        <v>80513.679999999993</v>
      </c>
      <c r="T31" s="2"/>
      <c r="U31" s="2">
        <v>77945.259999999995</v>
      </c>
      <c r="V31" s="2"/>
      <c r="W31" s="2">
        <v>84064.9</v>
      </c>
      <c r="X31" s="2"/>
      <c r="Y31" s="2"/>
      <c r="Z31" s="2"/>
      <c r="AA31" s="2">
        <v>2321.35</v>
      </c>
      <c r="AB31" s="2"/>
      <c r="AC31" s="19">
        <v>4839.6099999999997</v>
      </c>
      <c r="AD31" s="19"/>
      <c r="AE31" s="19">
        <v>85242.16</v>
      </c>
      <c r="AF31" s="16"/>
      <c r="AG31" s="26">
        <v>172973.85</v>
      </c>
      <c r="AH31" s="26"/>
      <c r="AI31" s="26"/>
      <c r="AJ31" s="26"/>
      <c r="AK31" s="14"/>
      <c r="AL31" s="14"/>
    </row>
    <row r="32" spans="1:38" ht="22.2" customHeight="1">
      <c r="A32" s="67" t="s">
        <v>8</v>
      </c>
      <c r="B32" s="6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9">
        <v>446550.73</v>
      </c>
      <c r="AD32" s="19"/>
      <c r="AE32" s="19">
        <v>451706.16</v>
      </c>
      <c r="AF32" s="16"/>
      <c r="AG32" s="26">
        <v>291019.77</v>
      </c>
      <c r="AH32" s="26"/>
      <c r="AI32" s="26"/>
      <c r="AJ32" s="26"/>
      <c r="AK32" s="14"/>
      <c r="AL32" s="14"/>
    </row>
    <row r="33" spans="1:38" ht="42" customHeight="1">
      <c r="A33" s="67" t="s">
        <v>9</v>
      </c>
      <c r="B33" s="68"/>
      <c r="C33" s="2">
        <v>0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9"/>
      <c r="AD33" s="26"/>
      <c r="AE33" s="19"/>
      <c r="AF33" s="16"/>
      <c r="AG33" s="26"/>
      <c r="AH33" s="26"/>
      <c r="AI33" s="26"/>
      <c r="AJ33" s="26"/>
      <c r="AK33" s="14"/>
      <c r="AL33" s="14"/>
    </row>
    <row r="34" spans="1:38" ht="24.6" customHeight="1">
      <c r="A34" s="67" t="s">
        <v>10</v>
      </c>
      <c r="B34" s="6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9">
        <v>212331.61</v>
      </c>
      <c r="AD34" s="19"/>
      <c r="AE34" s="19">
        <v>319439.09000000003</v>
      </c>
      <c r="AF34" s="16"/>
      <c r="AG34" s="26">
        <v>343625.38</v>
      </c>
      <c r="AH34" s="26"/>
      <c r="AI34" s="26"/>
      <c r="AJ34" s="26"/>
      <c r="AK34" s="14"/>
      <c r="AL34" s="14"/>
    </row>
    <row r="35" spans="1:38" ht="22.8" customHeight="1">
      <c r="A35" s="67" t="s">
        <v>16</v>
      </c>
      <c r="B35" s="6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6"/>
      <c r="AD35" s="16"/>
      <c r="AE35" s="16"/>
      <c r="AF35" s="16"/>
      <c r="AG35" s="16"/>
      <c r="AH35" s="16"/>
      <c r="AI35" s="16"/>
      <c r="AJ35" s="16"/>
      <c r="AK35" s="14"/>
      <c r="AL35" s="14"/>
    </row>
    <row r="36" spans="1:38">
      <c r="A36" s="56" t="s">
        <v>19</v>
      </c>
      <c r="B36" s="57"/>
      <c r="C36" s="60">
        <v>24738.76</v>
      </c>
      <c r="D36" s="60">
        <f t="shared" ref="D36:AB36" si="7">SUM(D38:D42)</f>
        <v>0</v>
      </c>
      <c r="E36" s="60">
        <f t="shared" si="7"/>
        <v>162585.41</v>
      </c>
      <c r="F36" s="60">
        <f t="shared" si="7"/>
        <v>0</v>
      </c>
      <c r="G36" s="60">
        <f t="shared" si="7"/>
        <v>2836261.8599999994</v>
      </c>
      <c r="H36" s="60">
        <f t="shared" si="7"/>
        <v>179639.45</v>
      </c>
      <c r="I36" s="60">
        <f t="shared" si="7"/>
        <v>2968161.5</v>
      </c>
      <c r="J36" s="60">
        <f t="shared" si="7"/>
        <v>179639.45</v>
      </c>
      <c r="K36" s="60">
        <f t="shared" si="7"/>
        <v>3579888.6599999997</v>
      </c>
      <c r="L36" s="60">
        <f t="shared" si="7"/>
        <v>179639.45</v>
      </c>
      <c r="M36" s="60">
        <f t="shared" si="7"/>
        <v>2288254.44</v>
      </c>
      <c r="N36" s="60">
        <f t="shared" si="7"/>
        <v>179639.45</v>
      </c>
      <c r="O36" s="60">
        <f t="shared" si="7"/>
        <v>2699902.61</v>
      </c>
      <c r="P36" s="60">
        <f t="shared" si="7"/>
        <v>179639.45</v>
      </c>
      <c r="Q36" s="60">
        <f t="shared" si="7"/>
        <v>2782603.59</v>
      </c>
      <c r="R36" s="60">
        <f t="shared" si="7"/>
        <v>179639.45</v>
      </c>
      <c r="S36" s="60">
        <f t="shared" si="7"/>
        <v>2615855.7999999998</v>
      </c>
      <c r="T36" s="60">
        <f t="shared" si="7"/>
        <v>179639.45</v>
      </c>
      <c r="U36" s="60">
        <f t="shared" si="7"/>
        <v>2483055.5499999998</v>
      </c>
      <c r="V36" s="60">
        <f t="shared" si="7"/>
        <v>142806.04</v>
      </c>
      <c r="W36" s="60">
        <f t="shared" si="7"/>
        <v>2680559.16</v>
      </c>
      <c r="X36" s="60">
        <f t="shared" si="7"/>
        <v>142806.04</v>
      </c>
      <c r="Y36" s="60">
        <f t="shared" si="7"/>
        <v>79878.12999999999</v>
      </c>
      <c r="Z36" s="60">
        <f t="shared" si="7"/>
        <v>0</v>
      </c>
      <c r="AA36" s="60">
        <f t="shared" si="7"/>
        <v>95495.42</v>
      </c>
      <c r="AB36" s="60">
        <f t="shared" si="7"/>
        <v>0</v>
      </c>
      <c r="AC36" s="71">
        <f t="shared" ref="AC36:AF36" si="8">SUM(AC38:AC42)</f>
        <v>2592606.9299999997</v>
      </c>
      <c r="AD36" s="71">
        <f t="shared" si="8"/>
        <v>0</v>
      </c>
      <c r="AE36" s="71">
        <f t="shared" si="8"/>
        <v>4410926.9800000004</v>
      </c>
      <c r="AF36" s="71">
        <f t="shared" si="8"/>
        <v>1508980.59</v>
      </c>
      <c r="AG36" s="77">
        <f>AG38+AG39+AG40+AG41+AG42</f>
        <v>6043790.8399999999</v>
      </c>
      <c r="AH36" s="77">
        <f>AH38+AH39+AH40+AH41+AH42</f>
        <v>5996669.2400000002</v>
      </c>
      <c r="AI36" s="77">
        <f>AI38+AI39+AI40+AI41+AI42</f>
        <v>1880593.8800000001</v>
      </c>
      <c r="AJ36" s="77">
        <f>AJ38+AJ39+AJ40+AJ41+AJ42</f>
        <v>1880593.88</v>
      </c>
      <c r="AK36" s="65">
        <f>AG36/AE36-1</f>
        <v>0.37018610088167891</v>
      </c>
      <c r="AL36" s="65">
        <f>AI36/AF36-1</f>
        <v>0.24626777339793349</v>
      </c>
    </row>
    <row r="37" spans="1:38">
      <c r="A37" s="58"/>
      <c r="B37" s="5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70"/>
      <c r="AD37" s="70"/>
      <c r="AE37" s="70"/>
      <c r="AF37" s="70"/>
      <c r="AG37" s="78"/>
      <c r="AH37" s="78"/>
      <c r="AI37" s="78"/>
      <c r="AJ37" s="78"/>
      <c r="AK37" s="66"/>
      <c r="AL37" s="66"/>
    </row>
    <row r="38" spans="1:38" ht="44.25" customHeight="1">
      <c r="A38" s="67" t="s">
        <v>11</v>
      </c>
      <c r="B38" s="68"/>
      <c r="C38" s="2"/>
      <c r="D38" s="2"/>
      <c r="E38" s="2">
        <v>162585.41</v>
      </c>
      <c r="F38" s="2"/>
      <c r="G38" s="2">
        <f>410855.69+138863.03</f>
        <v>549718.72</v>
      </c>
      <c r="H38" s="2">
        <v>179639.45</v>
      </c>
      <c r="I38" s="2">
        <f>349786.74+482870.23</f>
        <v>832656.97</v>
      </c>
      <c r="J38" s="2">
        <v>179639.45</v>
      </c>
      <c r="K38" s="2">
        <f>325550.4+256894.84</f>
        <v>582445.24</v>
      </c>
      <c r="L38" s="2">
        <v>179639.45</v>
      </c>
      <c r="M38" s="2">
        <f>32098.35+367708.31</f>
        <v>399806.66</v>
      </c>
      <c r="N38" s="2">
        <v>179639.45</v>
      </c>
      <c r="O38" s="2">
        <f>19053.66+339996.73</f>
        <v>359050.38999999996</v>
      </c>
      <c r="P38" s="2">
        <v>179639.45</v>
      </c>
      <c r="Q38" s="2">
        <f>214101.64+184501.39</f>
        <v>398603.03</v>
      </c>
      <c r="R38" s="2">
        <v>179639.45</v>
      </c>
      <c r="S38" s="2">
        <f>293392.92+82646.26</f>
        <v>376039.18</v>
      </c>
      <c r="T38" s="2">
        <v>179639.45</v>
      </c>
      <c r="U38" s="2">
        <f>18347.3+293392.92</f>
        <v>311740.21999999997</v>
      </c>
      <c r="V38" s="2">
        <f>142806.04</f>
        <v>142806.04</v>
      </c>
      <c r="W38" s="2">
        <f>175124.05+248350.04</f>
        <v>423474.08999999997</v>
      </c>
      <c r="X38" s="2">
        <v>142806.04</v>
      </c>
      <c r="Y38" s="2">
        <v>99147.76</v>
      </c>
      <c r="Z38" s="2"/>
      <c r="AA38" s="2">
        <f>688.52+107436.01</f>
        <v>108124.53</v>
      </c>
      <c r="AB38" s="2"/>
      <c r="AC38" s="19">
        <f>23731.53+27555.65</f>
        <v>51287.18</v>
      </c>
      <c r="AD38" s="19"/>
      <c r="AE38" s="19">
        <f>36698.81+43106.43</f>
        <v>79805.239999999991</v>
      </c>
      <c r="AF38" s="19"/>
      <c r="AG38" s="26">
        <f>AH38+16412.78</f>
        <v>238760.13999999998</v>
      </c>
      <c r="AH38" s="26">
        <f>104792.76+117554.6</f>
        <v>222347.36</v>
      </c>
      <c r="AI38" s="16"/>
      <c r="AJ38" s="26"/>
      <c r="AK38" s="14"/>
      <c r="AL38" s="14"/>
    </row>
    <row r="39" spans="1:38">
      <c r="A39" s="67" t="s">
        <v>8</v>
      </c>
      <c r="B39" s="68"/>
      <c r="C39" s="2"/>
      <c r="D39" s="2"/>
      <c r="E39" s="2"/>
      <c r="F39" s="2"/>
      <c r="G39" s="2">
        <f>1280106.96+331142.71</f>
        <v>1611249.67</v>
      </c>
      <c r="H39" s="2"/>
      <c r="I39" s="2">
        <f>1112706.33+292125.54</f>
        <v>1404831.87</v>
      </c>
      <c r="J39" s="2"/>
      <c r="K39" s="2">
        <f>1664826.89+424726.47</f>
        <v>2089553.3599999999</v>
      </c>
      <c r="L39" s="2"/>
      <c r="M39" s="2">
        <v>1291836.76</v>
      </c>
      <c r="N39" s="2"/>
      <c r="O39" s="2">
        <f>336869.12+1006180.12</f>
        <v>1343049.24</v>
      </c>
      <c r="P39" s="2"/>
      <c r="Q39" s="2">
        <f>290310.2+1054801</f>
        <v>1345111.2</v>
      </c>
      <c r="R39" s="2"/>
      <c r="S39" s="2">
        <f>210412.6+1031728.18</f>
        <v>1242140.78</v>
      </c>
      <c r="T39" s="2"/>
      <c r="U39" s="2">
        <f>144677.62+1051908.03</f>
        <v>1196585.6499999999</v>
      </c>
      <c r="V39" s="2"/>
      <c r="W39" s="2">
        <f>257630.31+1025805.39</f>
        <v>1283435.7</v>
      </c>
      <c r="X39" s="2"/>
      <c r="Y39" s="2"/>
      <c r="Z39" s="2"/>
      <c r="AA39" s="2"/>
      <c r="AB39" s="2"/>
      <c r="AC39" s="19">
        <f>367554.1+1092399.95</f>
        <v>1459954.0499999998</v>
      </c>
      <c r="AD39" s="19"/>
      <c r="AE39" s="19">
        <f>413160.07+976030.95</f>
        <v>1389191.02</v>
      </c>
      <c r="AF39" s="19"/>
      <c r="AG39" s="26">
        <f>AH39+20410</f>
        <v>1483828.69</v>
      </c>
      <c r="AH39" s="26">
        <f>399447.7+1063970.99</f>
        <v>1463418.69</v>
      </c>
      <c r="AI39" s="16"/>
      <c r="AJ39" s="26"/>
      <c r="AK39" s="14"/>
      <c r="AL39" s="14"/>
    </row>
    <row r="40" spans="1:38" ht="44.4" customHeight="1">
      <c r="A40" s="67" t="s">
        <v>9</v>
      </c>
      <c r="B40" s="68"/>
      <c r="C40" s="2"/>
      <c r="D40" s="2"/>
      <c r="E40" s="2"/>
      <c r="F40" s="2"/>
      <c r="G40" s="2">
        <f>191330.96+483962.51</f>
        <v>675293.47</v>
      </c>
      <c r="H40" s="2"/>
      <c r="I40" s="2">
        <f>171605.74+559066.92</f>
        <v>730672.66</v>
      </c>
      <c r="J40" s="2"/>
      <c r="K40" s="2">
        <f>209944.24+697945.82</f>
        <v>907890.05999999994</v>
      </c>
      <c r="L40" s="2"/>
      <c r="M40" s="2">
        <v>596611.02</v>
      </c>
      <c r="N40" s="2"/>
      <c r="O40" s="2">
        <f>198862.88+580042.1</f>
        <v>778904.98</v>
      </c>
      <c r="P40" s="2"/>
      <c r="Q40" s="2">
        <f>612669.18+219338.18</f>
        <v>832007.3600000001</v>
      </c>
      <c r="R40" s="2"/>
      <c r="S40" s="2">
        <f>201317.46+630998.38</f>
        <v>832315.84</v>
      </c>
      <c r="T40" s="2"/>
      <c r="U40" s="2">
        <f>184341.93+601701.1</f>
        <v>786043.03</v>
      </c>
      <c r="V40" s="2"/>
      <c r="W40" s="2">
        <f>177715.19+604861.18</f>
        <v>782576.37000000011</v>
      </c>
      <c r="X40" s="2"/>
      <c r="Y40" s="2">
        <v>-9193.7999999999993</v>
      </c>
      <c r="Z40" s="2"/>
      <c r="AA40" s="2">
        <f>-661.11-19438.81</f>
        <v>-20099.920000000002</v>
      </c>
      <c r="AB40" s="2"/>
      <c r="AC40" s="19">
        <f>254861.86+627161.14</f>
        <v>882023</v>
      </c>
      <c r="AD40" s="19"/>
      <c r="AE40" s="19">
        <f>363441.69+1320113.41</f>
        <v>1683555.0999999999</v>
      </c>
      <c r="AF40" s="19">
        <f>20923.56+643955.03</f>
        <v>664878.59000000008</v>
      </c>
      <c r="AG40" s="26">
        <f>AH40+9183.82</f>
        <v>2863942.15</v>
      </c>
      <c r="AH40" s="26">
        <f>469042.19+2385716.14</f>
        <v>2854758.33</v>
      </c>
      <c r="AI40" s="26">
        <v>1220473.1200000001</v>
      </c>
      <c r="AJ40" s="26">
        <f>147655.46+1072817.66</f>
        <v>1220473.1199999999</v>
      </c>
      <c r="AK40" s="14"/>
      <c r="AL40" s="14"/>
    </row>
    <row r="41" spans="1:38" ht="15" customHeight="1">
      <c r="A41" s="67" t="s">
        <v>10</v>
      </c>
      <c r="B41" s="6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>218898</f>
        <v>218898</v>
      </c>
      <c r="P41" s="2"/>
      <c r="Q41" s="2">
        <v>206882</v>
      </c>
      <c r="R41" s="2"/>
      <c r="S41" s="2">
        <v>165360</v>
      </c>
      <c r="T41" s="2"/>
      <c r="U41" s="2">
        <v>188686.65</v>
      </c>
      <c r="V41" s="2"/>
      <c r="W41" s="2">
        <f>191073</f>
        <v>191073</v>
      </c>
      <c r="X41" s="2"/>
      <c r="Y41" s="2">
        <v>-12759</v>
      </c>
      <c r="Z41" s="2"/>
      <c r="AA41" s="2">
        <v>-11968</v>
      </c>
      <c r="AB41" s="2"/>
      <c r="AC41" s="19"/>
      <c r="AD41" s="19"/>
      <c r="AE41" s="19"/>
      <c r="AF41" s="19"/>
      <c r="AG41" s="26">
        <f>AH41+1115</f>
        <v>94671.360000000001</v>
      </c>
      <c r="AH41" s="26">
        <v>93556.36</v>
      </c>
      <c r="AI41" s="26"/>
      <c r="AJ41" s="26"/>
      <c r="AK41" s="14"/>
      <c r="AL41" s="14"/>
    </row>
    <row r="42" spans="1:38" ht="16.95" customHeight="1">
      <c r="A42" s="67" t="s">
        <v>16</v>
      </c>
      <c r="B42" s="6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2683.17</v>
      </c>
      <c r="Z42" s="2"/>
      <c r="AA42" s="2">
        <v>19438.810000000001</v>
      </c>
      <c r="AB42" s="2"/>
      <c r="AC42" s="19">
        <v>199342.7</v>
      </c>
      <c r="AD42" s="19"/>
      <c r="AE42" s="19">
        <f>1258375.62</f>
        <v>1258375.6200000001</v>
      </c>
      <c r="AF42" s="19">
        <v>844102</v>
      </c>
      <c r="AG42" s="26">
        <f>AH42</f>
        <v>1362588.5</v>
      </c>
      <c r="AH42" s="26">
        <v>1362588.5</v>
      </c>
      <c r="AI42" s="26">
        <v>660120.76</v>
      </c>
      <c r="AJ42" s="26">
        <v>660120.76</v>
      </c>
      <c r="AK42" s="14"/>
      <c r="AL42" s="14"/>
    </row>
    <row r="43" spans="1:38">
      <c r="A43" s="56" t="s">
        <v>17</v>
      </c>
      <c r="B43" s="57"/>
      <c r="C43" s="60">
        <v>10765845.27</v>
      </c>
      <c r="D43" s="60">
        <v>7171240.7400000002</v>
      </c>
      <c r="E43" s="60">
        <f t="shared" ref="E43:F43" si="9">SUM(E45:E49)</f>
        <v>13066265.32</v>
      </c>
      <c r="F43" s="60">
        <f t="shared" si="9"/>
        <v>9363054.25</v>
      </c>
      <c r="G43" s="60">
        <f t="shared" ref="G43:AE43" si="10">SUM(G45:G49)</f>
        <v>12452961.670000002</v>
      </c>
      <c r="H43" s="60">
        <f t="shared" si="10"/>
        <v>10697359.270000001</v>
      </c>
      <c r="I43" s="60">
        <f t="shared" si="10"/>
        <v>10509503.82</v>
      </c>
      <c r="J43" s="60">
        <f t="shared" si="10"/>
        <v>9311032.910000002</v>
      </c>
      <c r="K43" s="60">
        <f t="shared" si="10"/>
        <v>9816963.7700000014</v>
      </c>
      <c r="L43" s="60">
        <f t="shared" si="10"/>
        <v>9514146.0000000019</v>
      </c>
      <c r="M43" s="60">
        <f t="shared" si="10"/>
        <v>10491903.119999999</v>
      </c>
      <c r="N43" s="60">
        <f t="shared" si="10"/>
        <v>10223094.629999999</v>
      </c>
      <c r="O43" s="60">
        <f t="shared" si="10"/>
        <v>11041075.82</v>
      </c>
      <c r="P43" s="60">
        <f t="shared" si="10"/>
        <v>9852688.540000001</v>
      </c>
      <c r="Q43" s="60">
        <f t="shared" si="10"/>
        <v>11491967.560000001</v>
      </c>
      <c r="R43" s="60">
        <f t="shared" si="10"/>
        <v>9865070.0600000005</v>
      </c>
      <c r="S43" s="60">
        <f t="shared" si="10"/>
        <v>12060303.5</v>
      </c>
      <c r="T43" s="60">
        <f t="shared" si="10"/>
        <v>10862190.040000001</v>
      </c>
      <c r="U43" s="60">
        <f t="shared" si="10"/>
        <v>11619250.300000001</v>
      </c>
      <c r="V43" s="60">
        <f t="shared" si="10"/>
        <v>9816511.040000001</v>
      </c>
      <c r="W43" s="60">
        <f t="shared" si="10"/>
        <v>11514591.1</v>
      </c>
      <c r="X43" s="60">
        <f t="shared" si="10"/>
        <v>10293165.02</v>
      </c>
      <c r="Y43" s="60">
        <f t="shared" si="10"/>
        <v>14972637.870000001</v>
      </c>
      <c r="Z43" s="60">
        <f t="shared" si="10"/>
        <v>11006589.689999999</v>
      </c>
      <c r="AA43" s="60">
        <f t="shared" si="10"/>
        <v>9326658.8399999999</v>
      </c>
      <c r="AB43" s="60">
        <f t="shared" si="10"/>
        <v>4539830.71</v>
      </c>
      <c r="AC43" s="71">
        <f t="shared" si="10"/>
        <v>11434380.700000001</v>
      </c>
      <c r="AD43" s="71">
        <f t="shared" si="10"/>
        <v>1118646.56</v>
      </c>
      <c r="AE43" s="71">
        <f t="shared" si="10"/>
        <v>20378851.969999999</v>
      </c>
      <c r="AF43" s="71">
        <f>AF45+AF46+AF47+AF48+AF49</f>
        <v>6845671.4899999993</v>
      </c>
      <c r="AG43" s="77">
        <f>AG45+AG46+AG47+AG48+AG49</f>
        <v>21821924</v>
      </c>
      <c r="AH43" s="77">
        <f>AH45+AH46+AH47+AH48+AH49</f>
        <v>1624721</v>
      </c>
      <c r="AI43" s="77">
        <f>AI45+AI46+AI47+AI48+AI49</f>
        <v>8640587.1999999993</v>
      </c>
      <c r="AJ43" s="77">
        <f>AJ45+AJ46+AJ47+AJ48+AJ49</f>
        <v>0</v>
      </c>
      <c r="AK43" s="65">
        <f>AG43/AE43-1</f>
        <v>7.0812233786494261E-2</v>
      </c>
      <c r="AL43" s="65">
        <f>AI43/AF43-1</f>
        <v>0.26219717271300147</v>
      </c>
    </row>
    <row r="44" spans="1:38" ht="27.75" customHeight="1">
      <c r="A44" s="58"/>
      <c r="B44" s="5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70"/>
      <c r="AD44" s="70"/>
      <c r="AE44" s="70"/>
      <c r="AF44" s="70"/>
      <c r="AG44" s="78"/>
      <c r="AH44" s="78"/>
      <c r="AI44" s="78"/>
      <c r="AJ44" s="78"/>
      <c r="AK44" s="66"/>
      <c r="AL44" s="66"/>
    </row>
    <row r="45" spans="1:38" ht="40.950000000000003" customHeight="1">
      <c r="A45" s="67" t="s">
        <v>11</v>
      </c>
      <c r="B45" s="68"/>
      <c r="C45" s="2"/>
      <c r="D45" s="2"/>
      <c r="E45" s="2">
        <v>1445875.56</v>
      </c>
      <c r="F45" s="2">
        <v>504057.32</v>
      </c>
      <c r="G45" s="2">
        <f>15780.83+1401592.32</f>
        <v>1417373.1500000001</v>
      </c>
      <c r="H45" s="2">
        <f>497307.75</f>
        <v>497307.75</v>
      </c>
      <c r="I45" s="2">
        <f>14359.15+1094634.15</f>
        <v>1108993.2999999998</v>
      </c>
      <c r="J45" s="2">
        <v>581610.39</v>
      </c>
      <c r="K45" s="2">
        <f>45290.3+812014.95</f>
        <v>857305.25</v>
      </c>
      <c r="L45" s="2">
        <v>554487.48</v>
      </c>
      <c r="M45" s="2">
        <f>22392+828113.09</f>
        <v>850505.09</v>
      </c>
      <c r="N45" s="2">
        <f>581696.6</f>
        <v>581696.6</v>
      </c>
      <c r="O45" s="2">
        <f>24207.15+1590490.12</f>
        <v>1614697.27</v>
      </c>
      <c r="P45" s="2">
        <f>484794.48</f>
        <v>484794.48</v>
      </c>
      <c r="Q45" s="2">
        <v>1906086.62</v>
      </c>
      <c r="R45" s="2"/>
      <c r="S45" s="2">
        <f>23600.15+1705289.54</f>
        <v>1728889.69</v>
      </c>
      <c r="T45" s="2">
        <v>530776.23</v>
      </c>
      <c r="U45" s="2">
        <f>2268996.34+30919.15</f>
        <v>2299915.4899999998</v>
      </c>
      <c r="V45" s="2">
        <v>497176.23</v>
      </c>
      <c r="W45" s="2">
        <f>2127960.81+48959.2</f>
        <v>2176920.0100000002</v>
      </c>
      <c r="X45" s="2">
        <v>955493.93</v>
      </c>
      <c r="Y45" s="2">
        <v>2219644.2799999998</v>
      </c>
      <c r="Z45" s="2">
        <f>782752.86</f>
        <v>782752.86</v>
      </c>
      <c r="AA45" s="2">
        <f>12015.61+2032961.35</f>
        <v>2044976.9600000002</v>
      </c>
      <c r="AB45" s="2">
        <v>246682.71</v>
      </c>
      <c r="AC45" s="19">
        <f>25455.33+3676740.99</f>
        <v>3702196.3200000003</v>
      </c>
      <c r="AD45" s="19">
        <v>370926</v>
      </c>
      <c r="AE45" s="19">
        <f>25119.87+10218497.79</f>
        <v>10243617.659999998</v>
      </c>
      <c r="AF45" s="19">
        <v>3812324.48</v>
      </c>
      <c r="AG45" s="26">
        <f>92866+7505896.09</f>
        <v>7598762.0899999999</v>
      </c>
      <c r="AH45" s="26">
        <v>1624721</v>
      </c>
      <c r="AI45" s="26">
        <v>1546341.78</v>
      </c>
      <c r="AJ45" s="16"/>
      <c r="AK45" s="14"/>
      <c r="AL45" s="14"/>
    </row>
    <row r="46" spans="1:38">
      <c r="A46" s="67" t="s">
        <v>8</v>
      </c>
      <c r="B46" s="6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107414.79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19">
        <f>240366.78+3338386.23</f>
        <v>3578753.01</v>
      </c>
      <c r="AD46" s="19"/>
      <c r="AE46" s="19">
        <f>213303.85+3570475.36</f>
        <v>3783779.21</v>
      </c>
      <c r="AF46" s="19"/>
      <c r="AG46" s="26">
        <f>1048316.56+3892857.12</f>
        <v>4941173.68</v>
      </c>
      <c r="AH46" s="16"/>
      <c r="AI46" s="26"/>
      <c r="AJ46" s="16"/>
      <c r="AK46" s="14"/>
      <c r="AL46" s="14"/>
    </row>
    <row r="47" spans="1:38" ht="39.6" customHeight="1">
      <c r="A47" s="67" t="s">
        <v>9</v>
      </c>
      <c r="B47" s="68"/>
      <c r="C47" s="2"/>
      <c r="D47" s="2"/>
      <c r="E47" s="2">
        <v>1463841.51</v>
      </c>
      <c r="F47" s="2"/>
      <c r="G47" s="2">
        <v>166700</v>
      </c>
      <c r="H47" s="2"/>
      <c r="I47" s="2"/>
      <c r="J47" s="2"/>
      <c r="K47" s="2"/>
      <c r="L47" s="2"/>
      <c r="M47" s="2"/>
      <c r="N47" s="2"/>
      <c r="O47" s="2">
        <v>27151.16</v>
      </c>
      <c r="P47" s="2"/>
      <c r="Q47" s="2">
        <v>78572.100000000006</v>
      </c>
      <c r="R47" s="2"/>
      <c r="S47" s="2"/>
      <c r="T47" s="2"/>
      <c r="U47" s="2"/>
      <c r="V47" s="2"/>
      <c r="W47" s="2"/>
      <c r="X47" s="2"/>
      <c r="Y47" s="2">
        <v>1439851.12</v>
      </c>
      <c r="Z47" s="2"/>
      <c r="AA47" s="2">
        <f>-34890.84+1036310.66</f>
        <v>1001419.8200000001</v>
      </c>
      <c r="AB47" s="2"/>
      <c r="AC47" s="19">
        <f>182858.49+1828141.64</f>
        <v>2011000.13</v>
      </c>
      <c r="AD47" s="19"/>
      <c r="AE47" s="19">
        <f>194574.38+2050743.86</f>
        <v>2245318.2400000002</v>
      </c>
      <c r="AF47" s="19"/>
      <c r="AG47" s="26">
        <f>763510.32+2959710.97+0.85</f>
        <v>3723222.14</v>
      </c>
      <c r="AH47" s="16"/>
      <c r="AI47" s="26">
        <f>317932.16+1222488.09</f>
        <v>1540420.25</v>
      </c>
      <c r="AJ47" s="16"/>
      <c r="AK47" s="14"/>
      <c r="AL47" s="14"/>
    </row>
    <row r="48" spans="1:38" ht="14.4" customHeight="1">
      <c r="A48" s="67" t="s">
        <v>10</v>
      </c>
      <c r="B48" s="68"/>
      <c r="C48" s="2"/>
      <c r="D48" s="2"/>
      <c r="E48" s="2">
        <v>10156548.25</v>
      </c>
      <c r="F48" s="2">
        <v>8858996.9299999997</v>
      </c>
      <c r="G48" s="2">
        <f>317.3+10868571.22</f>
        <v>10868888.520000001</v>
      </c>
      <c r="H48" s="2">
        <f>10199734.22+317.3</f>
        <v>10200051.520000001</v>
      </c>
      <c r="I48" s="2">
        <f>317.3+9400193.22</f>
        <v>9400510.5200000014</v>
      </c>
      <c r="J48" s="2">
        <f>317.3+8729105.22</f>
        <v>8729422.5200000014</v>
      </c>
      <c r="K48" s="2">
        <f>317.3+8959341.22</f>
        <v>8959658.5200000014</v>
      </c>
      <c r="L48" s="2">
        <f>317.3+8959341.22</f>
        <v>8959658.5200000014</v>
      </c>
      <c r="M48" s="2">
        <v>9641398.0299999993</v>
      </c>
      <c r="N48" s="2">
        <v>9641398.0299999993</v>
      </c>
      <c r="O48" s="2">
        <f>9367894.06</f>
        <v>9367894.0600000005</v>
      </c>
      <c r="P48" s="2">
        <f>9367894.06</f>
        <v>9367894.0600000005</v>
      </c>
      <c r="Q48" s="2">
        <f>9367894.06</f>
        <v>9367894.0600000005</v>
      </c>
      <c r="R48" s="2">
        <v>9865070.0600000005</v>
      </c>
      <c r="S48" s="2">
        <v>10331413.810000001</v>
      </c>
      <c r="T48" s="2">
        <v>10331413.810000001</v>
      </c>
      <c r="U48" s="2">
        <v>9319334.8100000005</v>
      </c>
      <c r="V48" s="2">
        <v>9319334.8100000005</v>
      </c>
      <c r="W48" s="2">
        <f>9337671.09</f>
        <v>9337671.0899999999</v>
      </c>
      <c r="X48" s="2">
        <v>9337671.0899999999</v>
      </c>
      <c r="Y48" s="2">
        <v>11178667.26</v>
      </c>
      <c r="Z48" s="2">
        <v>10089361.619999999</v>
      </c>
      <c r="AA48" s="2">
        <f>19543.45+6260718.61</f>
        <v>6280262.0600000005</v>
      </c>
      <c r="AB48" s="2">
        <v>4293148</v>
      </c>
      <c r="AC48" s="19">
        <f>41557.97+1353152.71</f>
        <v>1394710.68</v>
      </c>
      <c r="AD48" s="19"/>
      <c r="AE48" s="19">
        <f>79834.83+2444326.98</f>
        <v>2524161.81</v>
      </c>
      <c r="AF48" s="19">
        <v>1451371.96</v>
      </c>
      <c r="AG48" s="26">
        <f>15039+567180.92</f>
        <v>582219.92000000004</v>
      </c>
      <c r="AH48" s="16"/>
      <c r="AI48" s="26">
        <f>15039+562240</f>
        <v>577279</v>
      </c>
      <c r="AJ48" s="16"/>
      <c r="AK48" s="14"/>
      <c r="AL48" s="14"/>
    </row>
    <row r="49" spans="1:38" ht="16.95" customHeight="1">
      <c r="A49" s="67" t="s">
        <v>16</v>
      </c>
      <c r="B49" s="6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31333.33</v>
      </c>
      <c r="P49" s="2"/>
      <c r="Q49" s="2">
        <v>31999.99</v>
      </c>
      <c r="R49" s="2"/>
      <c r="S49" s="2"/>
      <c r="T49" s="2"/>
      <c r="U49" s="2"/>
      <c r="V49" s="2"/>
      <c r="W49" s="2"/>
      <c r="X49" s="2"/>
      <c r="Y49" s="2">
        <v>134475.21</v>
      </c>
      <c r="Z49" s="2">
        <v>134475.21</v>
      </c>
      <c r="AA49" s="2"/>
      <c r="AB49" s="2"/>
      <c r="AC49" s="19">
        <v>747720.56</v>
      </c>
      <c r="AD49" s="19">
        <v>747720.56</v>
      </c>
      <c r="AE49" s="19">
        <v>1581975.05</v>
      </c>
      <c r="AF49" s="19">
        <v>1581975.05</v>
      </c>
      <c r="AG49" s="26">
        <v>4976546.17</v>
      </c>
      <c r="AH49" s="16"/>
      <c r="AI49" s="26">
        <v>4976546.17</v>
      </c>
      <c r="AJ49" s="16"/>
      <c r="AK49" s="14"/>
      <c r="AL49" s="14"/>
    </row>
    <row r="50" spans="1:38" ht="14.4" hidden="1" customHeight="1">
      <c r="A50" s="56" t="s">
        <v>4</v>
      </c>
      <c r="B50" s="57"/>
      <c r="C50" s="60">
        <v>654159.29</v>
      </c>
      <c r="D50" s="60">
        <f t="shared" ref="D50" si="11">SUM(D52:D56)</f>
        <v>0</v>
      </c>
      <c r="E50" s="60">
        <f t="shared" ref="E50:AB50" si="12">SUM(E52:E56)</f>
        <v>159427.71</v>
      </c>
      <c r="F50" s="60">
        <f t="shared" si="12"/>
        <v>156150</v>
      </c>
      <c r="G50" s="60">
        <f t="shared" si="12"/>
        <v>166323.26</v>
      </c>
      <c r="H50" s="60">
        <f t="shared" si="12"/>
        <v>156150</v>
      </c>
      <c r="I50" s="60">
        <f t="shared" si="12"/>
        <v>158187.54</v>
      </c>
      <c r="J50" s="60">
        <f t="shared" si="12"/>
        <v>156150</v>
      </c>
      <c r="K50" s="60">
        <f t="shared" si="12"/>
        <v>157389.10999999999</v>
      </c>
      <c r="L50" s="60">
        <f t="shared" si="12"/>
        <v>156150</v>
      </c>
      <c r="M50" s="60">
        <f t="shared" si="12"/>
        <v>162310.56</v>
      </c>
      <c r="N50" s="60">
        <f t="shared" si="12"/>
        <v>156150</v>
      </c>
      <c r="O50" s="60">
        <f t="shared" si="12"/>
        <v>158206.72</v>
      </c>
      <c r="P50" s="60">
        <f t="shared" si="12"/>
        <v>156150</v>
      </c>
      <c r="Q50" s="60">
        <f t="shared" si="12"/>
        <v>162910.32999999999</v>
      </c>
      <c r="R50" s="60">
        <f t="shared" si="12"/>
        <v>156150</v>
      </c>
      <c r="S50" s="60">
        <f t="shared" si="12"/>
        <v>159608.60999999999</v>
      </c>
      <c r="T50" s="60">
        <f t="shared" si="12"/>
        <v>156150</v>
      </c>
      <c r="U50" s="60">
        <f t="shared" si="12"/>
        <v>157986.35</v>
      </c>
      <c r="V50" s="60">
        <f t="shared" si="12"/>
        <v>156150</v>
      </c>
      <c r="W50" s="60">
        <f t="shared" si="12"/>
        <v>159926.9</v>
      </c>
      <c r="X50" s="60">
        <f t="shared" si="12"/>
        <v>156150</v>
      </c>
      <c r="Y50" s="60">
        <f t="shared" si="12"/>
        <v>0</v>
      </c>
      <c r="Z50" s="60">
        <f t="shared" si="12"/>
        <v>0</v>
      </c>
      <c r="AA50" s="60">
        <f t="shared" si="12"/>
        <v>0</v>
      </c>
      <c r="AB50" s="60">
        <f t="shared" si="12"/>
        <v>0</v>
      </c>
      <c r="AC50" s="28"/>
      <c r="AD50" s="28"/>
      <c r="AE50" s="28"/>
      <c r="AF50" s="28"/>
      <c r="AG50" s="28"/>
      <c r="AH50" s="28"/>
      <c r="AI50" s="28"/>
      <c r="AJ50" s="28"/>
      <c r="AK50" s="65">
        <f>Y50/E50-1</f>
        <v>-1</v>
      </c>
      <c r="AL50" s="65">
        <f>Z50/F50-1</f>
        <v>-1</v>
      </c>
    </row>
    <row r="51" spans="1:38" ht="14.4" hidden="1" customHeight="1">
      <c r="A51" s="58"/>
      <c r="B51" s="5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29"/>
      <c r="AD51" s="29"/>
      <c r="AE51" s="29"/>
      <c r="AF51" s="29"/>
      <c r="AG51" s="29"/>
      <c r="AH51" s="29"/>
      <c r="AI51" s="29"/>
      <c r="AJ51" s="29"/>
      <c r="AK51" s="66"/>
      <c r="AL51" s="66"/>
    </row>
    <row r="52" spans="1:38" ht="46.2" hidden="1" customHeight="1">
      <c r="A52" s="67" t="s">
        <v>11</v>
      </c>
      <c r="B52" s="68"/>
      <c r="C52" s="2"/>
      <c r="D52" s="2"/>
      <c r="E52" s="2">
        <v>2936.71</v>
      </c>
      <c r="F52" s="2"/>
      <c r="G52" s="2">
        <v>10173.26</v>
      </c>
      <c r="H52" s="2"/>
      <c r="I52" s="2">
        <v>2037.54</v>
      </c>
      <c r="J52" s="2"/>
      <c r="K52" s="2">
        <v>1239.1099999999999</v>
      </c>
      <c r="L52" s="2"/>
      <c r="M52" s="2">
        <v>6160.56</v>
      </c>
      <c r="N52" s="2"/>
      <c r="O52" s="2">
        <v>2056.7199999999998</v>
      </c>
      <c r="P52" s="2"/>
      <c r="Q52" s="2">
        <v>4968.33</v>
      </c>
      <c r="R52" s="2"/>
      <c r="S52" s="2">
        <v>3458.61</v>
      </c>
      <c r="T52" s="2"/>
      <c r="U52" s="2">
        <v>1836.35</v>
      </c>
      <c r="V52" s="2"/>
      <c r="W52" s="2">
        <v>3776.9</v>
      </c>
      <c r="X52" s="2"/>
      <c r="Y52" s="2"/>
      <c r="Z52" s="2"/>
      <c r="AA52" s="2"/>
      <c r="AB52" s="2"/>
      <c r="AC52" s="16"/>
      <c r="AD52" s="16"/>
      <c r="AE52" s="16"/>
      <c r="AF52" s="16"/>
      <c r="AG52" s="16"/>
      <c r="AH52" s="16"/>
      <c r="AI52" s="16"/>
      <c r="AJ52" s="16"/>
      <c r="AK52" s="14"/>
      <c r="AL52" s="14"/>
    </row>
    <row r="53" spans="1:38" ht="14.4" hidden="1" customHeight="1">
      <c r="A53" s="67" t="s">
        <v>8</v>
      </c>
      <c r="B53" s="6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6"/>
      <c r="AD53" s="16"/>
      <c r="AE53" s="16"/>
      <c r="AF53" s="16"/>
      <c r="AG53" s="16"/>
      <c r="AH53" s="16"/>
      <c r="AI53" s="16"/>
      <c r="AJ53" s="16"/>
      <c r="AK53" s="14"/>
      <c r="AL53" s="14"/>
    </row>
    <row r="54" spans="1:38" ht="14.4" hidden="1" customHeight="1">
      <c r="A54" s="67" t="s">
        <v>9</v>
      </c>
      <c r="B54" s="68"/>
      <c r="C54" s="2"/>
      <c r="D54" s="2"/>
      <c r="E54" s="2">
        <v>-10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6"/>
      <c r="AD54" s="16"/>
      <c r="AE54" s="16"/>
      <c r="AF54" s="16"/>
      <c r="AG54" s="16"/>
      <c r="AH54" s="16"/>
      <c r="AI54" s="16"/>
      <c r="AJ54" s="16"/>
      <c r="AK54" s="14"/>
      <c r="AL54" s="14"/>
    </row>
    <row r="55" spans="1:38" ht="14.4" hidden="1" customHeight="1">
      <c r="A55" s="67" t="s">
        <v>10</v>
      </c>
      <c r="B55" s="68"/>
      <c r="C55" s="2"/>
      <c r="D55" s="2"/>
      <c r="E55" s="2">
        <v>351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1792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6"/>
      <c r="AD55" s="16"/>
      <c r="AE55" s="16"/>
      <c r="AF55" s="16"/>
      <c r="AG55" s="16"/>
      <c r="AH55" s="16"/>
      <c r="AI55" s="16"/>
      <c r="AJ55" s="16"/>
      <c r="AK55" s="14"/>
      <c r="AL55" s="14"/>
    </row>
    <row r="56" spans="1:38" ht="14.4" hidden="1" customHeight="1">
      <c r="A56" s="67" t="s">
        <v>16</v>
      </c>
      <c r="B56" s="68"/>
      <c r="C56" s="2"/>
      <c r="D56" s="2"/>
      <c r="E56" s="2">
        <v>156150</v>
      </c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0</v>
      </c>
      <c r="Z56" s="2">
        <v>0</v>
      </c>
      <c r="AA56" s="2"/>
      <c r="AB56" s="2"/>
      <c r="AC56" s="16"/>
      <c r="AD56" s="16"/>
      <c r="AE56" s="16"/>
      <c r="AF56" s="16"/>
      <c r="AG56" s="16"/>
      <c r="AH56" s="16"/>
      <c r="AI56" s="16"/>
      <c r="AJ56" s="16"/>
      <c r="AK56" s="14"/>
      <c r="AL56" s="14"/>
    </row>
    <row r="57" spans="1:38">
      <c r="A57" s="56" t="s">
        <v>18</v>
      </c>
      <c r="B57" s="57"/>
      <c r="C57" s="38">
        <v>10829169.880000001</v>
      </c>
      <c r="D57" s="38">
        <f>1640975.89+2975186.97+988391.8</f>
        <v>5604554.6600000001</v>
      </c>
      <c r="E57" s="38">
        <f t="shared" ref="E57:F57" si="13">SUM(E59:E63)</f>
        <v>6197764.7700000005</v>
      </c>
      <c r="F57" s="38">
        <f t="shared" si="13"/>
        <v>3749667.49</v>
      </c>
      <c r="G57" s="38">
        <f t="shared" ref="G57:AF57" si="14">SUM(G59:G63)</f>
        <v>6852948.2799999993</v>
      </c>
      <c r="H57" s="38">
        <f t="shared" si="14"/>
        <v>3749667.49</v>
      </c>
      <c r="I57" s="38">
        <f t="shared" si="14"/>
        <v>5929212.6499999994</v>
      </c>
      <c r="J57" s="38">
        <f t="shared" si="14"/>
        <v>2974471.0500000003</v>
      </c>
      <c r="K57" s="38">
        <f t="shared" si="14"/>
        <v>7559967.5599999996</v>
      </c>
      <c r="L57" s="38">
        <f t="shared" si="14"/>
        <v>2974471.0500000003</v>
      </c>
      <c r="M57" s="38">
        <f t="shared" si="14"/>
        <v>6930316.6799999997</v>
      </c>
      <c r="N57" s="38">
        <f t="shared" si="14"/>
        <v>4894294.6399999997</v>
      </c>
      <c r="O57" s="38">
        <f t="shared" si="14"/>
        <v>7219255.4799999995</v>
      </c>
      <c r="P57" s="38">
        <f t="shared" si="14"/>
        <v>4894294.6399999997</v>
      </c>
      <c r="Q57" s="38">
        <f t="shared" si="14"/>
        <v>9600917.8499999996</v>
      </c>
      <c r="R57" s="38">
        <f t="shared" si="14"/>
        <v>4651292.82</v>
      </c>
      <c r="S57" s="38">
        <f t="shared" si="14"/>
        <v>8525632.5199999996</v>
      </c>
      <c r="T57" s="38">
        <f t="shared" si="14"/>
        <v>4005766.16</v>
      </c>
      <c r="U57" s="38">
        <f t="shared" si="14"/>
        <v>10599393.380000001</v>
      </c>
      <c r="V57" s="38">
        <f t="shared" si="14"/>
        <v>1496363.55</v>
      </c>
      <c r="W57" s="38">
        <f t="shared" si="14"/>
        <v>20377243.73</v>
      </c>
      <c r="X57" s="38">
        <f t="shared" si="14"/>
        <v>1496363.55</v>
      </c>
      <c r="Y57" s="38">
        <f t="shared" si="14"/>
        <v>20412653.610000003</v>
      </c>
      <c r="Z57" s="38">
        <f t="shared" si="14"/>
        <v>13308419.82</v>
      </c>
      <c r="AA57" s="38">
        <f t="shared" si="14"/>
        <v>8091227.3499999996</v>
      </c>
      <c r="AB57" s="38">
        <f t="shared" si="14"/>
        <v>426532.05</v>
      </c>
      <c r="AC57" s="69">
        <f t="shared" si="14"/>
        <v>54055934.440000005</v>
      </c>
      <c r="AD57" s="69">
        <f t="shared" si="14"/>
        <v>17697811.539999999</v>
      </c>
      <c r="AE57" s="69">
        <f t="shared" si="14"/>
        <v>61418098.109999999</v>
      </c>
      <c r="AF57" s="69">
        <f t="shared" si="14"/>
        <v>39172056.890000001</v>
      </c>
      <c r="AG57" s="75">
        <f>AG59+AG60+AG61+AG62+AG63</f>
        <v>12238071.009999998</v>
      </c>
      <c r="AH57" s="75">
        <f>AH59+AH60+AH61+AH62+AH63</f>
        <v>4454905.63</v>
      </c>
      <c r="AI57" s="75">
        <f>AI59+AI60+AI61+AI62+AI63</f>
        <v>401041.57</v>
      </c>
      <c r="AJ57" s="75">
        <f>AJ59+AJ60+AJ61+AJ62+AJ63</f>
        <v>0</v>
      </c>
      <c r="AK57" s="65">
        <f>AG57/AE57-1</f>
        <v>-0.80074161547494394</v>
      </c>
      <c r="AL57" s="65">
        <f>AI57/AF57-1</f>
        <v>-0.98976204974055426</v>
      </c>
    </row>
    <row r="58" spans="1:38">
      <c r="A58" s="58"/>
      <c r="B58" s="5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70"/>
      <c r="AD58" s="70"/>
      <c r="AE58" s="70"/>
      <c r="AF58" s="70"/>
      <c r="AG58" s="76"/>
      <c r="AH58" s="76"/>
      <c r="AI58" s="76"/>
      <c r="AJ58" s="76"/>
      <c r="AK58" s="66"/>
      <c r="AL58" s="66"/>
    </row>
    <row r="59" spans="1:38" ht="42.6" customHeight="1">
      <c r="A59" s="67" t="s">
        <v>11</v>
      </c>
      <c r="B59" s="68"/>
      <c r="C59" s="1"/>
      <c r="D59" s="1"/>
      <c r="E59" s="1">
        <v>6195284.0800000001</v>
      </c>
      <c r="F59" s="1">
        <f>3363056.56+386610.93</f>
        <v>3749667.49</v>
      </c>
      <c r="G59" s="1">
        <f>2263909.36+4559378.25</f>
        <v>6823287.6099999994</v>
      </c>
      <c r="H59" s="1">
        <f>386610.93+3363056.56</f>
        <v>3749667.49</v>
      </c>
      <c r="I59" s="1">
        <f>1799893.76+4099496.79</f>
        <v>5899390.5499999998</v>
      </c>
      <c r="J59" s="1">
        <f>386610.93+2587860.12</f>
        <v>2974471.0500000003</v>
      </c>
      <c r="K59" s="1">
        <f>5416106.16+2141154.26+1386.18+1320.96</f>
        <v>7559967.5599999996</v>
      </c>
      <c r="L59" s="1">
        <f>2587860.12+386610.93</f>
        <v>2974471.0500000003</v>
      </c>
      <c r="M59" s="1">
        <v>6930316.6799999997</v>
      </c>
      <c r="N59" s="1">
        <v>4894294.6399999997</v>
      </c>
      <c r="O59" s="1">
        <f>1865798.47+5348998.75</f>
        <v>7214797.2199999997</v>
      </c>
      <c r="P59" s="1">
        <f>386610.93+4507683.71</f>
        <v>4894294.6399999997</v>
      </c>
      <c r="Q59" s="1">
        <v>9600917.8499999996</v>
      </c>
      <c r="R59" s="1">
        <v>4651292.82</v>
      </c>
      <c r="S59" s="1">
        <f>2951333.92+5555295.68+15251.76+3751.16</f>
        <v>8525632.5199999996</v>
      </c>
      <c r="T59" s="1">
        <f>3619155.23+386610.93</f>
        <v>4005766.16</v>
      </c>
      <c r="U59" s="1">
        <f>1992205.58+8591549.02+5323.15+10315.63</f>
        <v>10599393.380000001</v>
      </c>
      <c r="V59" s="1">
        <f>1109752.62+386610.93</f>
        <v>1496363.55</v>
      </c>
      <c r="W59" s="1">
        <f>10545735.23+9823125.67+3422.46+4960.37</f>
        <v>20377243.73</v>
      </c>
      <c r="X59" s="1">
        <f>386610.93+1109752.62</f>
        <v>1496363.55</v>
      </c>
      <c r="Y59" s="1">
        <v>20441640.960000001</v>
      </c>
      <c r="Z59" s="1">
        <v>13308419.82</v>
      </c>
      <c r="AA59" s="1">
        <f>7629239.68+462054.67</f>
        <v>8091294.3499999996</v>
      </c>
      <c r="AB59" s="1">
        <f>43720.99+382811.06</f>
        <v>426532.05</v>
      </c>
      <c r="AC59" s="22">
        <f>33166250.55+116.03+20185020.65+10333.24-153588.27</f>
        <v>53208132.200000003</v>
      </c>
      <c r="AD59" s="22">
        <f>17535000.48+162811.06-153588.27</f>
        <v>17544223.27</v>
      </c>
      <c r="AE59" s="22">
        <f>44014737.97+19482.3+16465957.71</f>
        <v>60500177.979999997</v>
      </c>
      <c r="AF59" s="22">
        <f>29503554.98+9668501.91</f>
        <v>39172056.890000001</v>
      </c>
      <c r="AG59" s="33">
        <v>11770839.189999999</v>
      </c>
      <c r="AH59" s="33">
        <v>4454905.63</v>
      </c>
      <c r="AI59" s="33">
        <v>401041.57</v>
      </c>
      <c r="AJ59" s="15"/>
      <c r="AK59" s="11"/>
      <c r="AL59" s="11"/>
    </row>
    <row r="60" spans="1:38">
      <c r="A60" s="67" t="s">
        <v>8</v>
      </c>
      <c r="B60" s="6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2">
        <f>174701.03+239873.77</f>
        <v>414574.8</v>
      </c>
      <c r="AD60" s="22"/>
      <c r="AE60" s="22">
        <f>340113.75+6309.58+298211.41</f>
        <v>644634.74</v>
      </c>
      <c r="AF60" s="22"/>
      <c r="AG60" s="33">
        <f>180975.63+90797+9669.95</f>
        <v>281442.58</v>
      </c>
      <c r="AH60" s="15"/>
      <c r="AI60" s="15"/>
      <c r="AJ60" s="15"/>
      <c r="AK60" s="11"/>
      <c r="AL60" s="11"/>
    </row>
    <row r="61" spans="1:38" ht="43.2" customHeight="1">
      <c r="A61" s="67" t="s">
        <v>9</v>
      </c>
      <c r="B61" s="68"/>
      <c r="C61" s="1"/>
      <c r="D61" s="1"/>
      <c r="E61" s="1"/>
      <c r="F61" s="1"/>
      <c r="G61" s="1">
        <v>-0.01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2">
        <v>150004.17000000001</v>
      </c>
      <c r="AD61" s="22"/>
      <c r="AE61" s="22">
        <f>218911.42+53273.97</f>
        <v>272185.39</v>
      </c>
      <c r="AF61" s="22"/>
      <c r="AG61" s="33">
        <v>185472.7</v>
      </c>
      <c r="AH61" s="15"/>
      <c r="AI61" s="15"/>
      <c r="AJ61" s="15"/>
      <c r="AK61" s="11"/>
      <c r="AL61" s="11"/>
    </row>
    <row r="62" spans="1:38" ht="14.4" customHeight="1">
      <c r="A62" s="67" t="s">
        <v>10</v>
      </c>
      <c r="B62" s="68"/>
      <c r="C62" s="1"/>
      <c r="D62" s="1"/>
      <c r="E62" s="1"/>
      <c r="F62" s="1"/>
      <c r="G62" s="1">
        <v>-67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-94199.79</v>
      </c>
      <c r="Z62" s="1"/>
      <c r="AA62" s="1">
        <v>-67</v>
      </c>
      <c r="AB62" s="1"/>
      <c r="AC62" s="22">
        <f>129635</f>
        <v>129635</v>
      </c>
      <c r="AD62" s="22"/>
      <c r="AE62" s="22"/>
      <c r="AF62" s="22"/>
      <c r="AG62" s="33"/>
      <c r="AH62" s="15"/>
      <c r="AI62" s="15"/>
      <c r="AJ62" s="15"/>
      <c r="AK62" s="11"/>
      <c r="AL62" s="11"/>
    </row>
    <row r="63" spans="1:38" ht="15.6" customHeight="1">
      <c r="A63" s="67" t="s">
        <v>16</v>
      </c>
      <c r="B63" s="68"/>
      <c r="C63" s="1"/>
      <c r="D63" s="1"/>
      <c r="E63" s="1">
        <v>2480.69</v>
      </c>
      <c r="F63" s="1"/>
      <c r="G63" s="1">
        <f>10138.57+19589.11</f>
        <v>29727.68</v>
      </c>
      <c r="H63" s="1"/>
      <c r="I63" s="1">
        <f>14183.88+15638.22</f>
        <v>29822.1</v>
      </c>
      <c r="J63" s="1"/>
      <c r="K63" s="1"/>
      <c r="L63" s="1"/>
      <c r="M63" s="1"/>
      <c r="N63" s="1"/>
      <c r="O63" s="1">
        <v>4458.26</v>
      </c>
      <c r="P63" s="1"/>
      <c r="Q63" s="1"/>
      <c r="R63" s="1"/>
      <c r="S63" s="1"/>
      <c r="T63" s="1"/>
      <c r="U63" s="1"/>
      <c r="V63" s="1"/>
      <c r="W63" s="1"/>
      <c r="X63" s="1"/>
      <c r="Y63" s="1">
        <v>65212.44</v>
      </c>
      <c r="Z63" s="1"/>
      <c r="AA63" s="1"/>
      <c r="AB63" s="1"/>
      <c r="AC63" s="22">
        <v>153588.26999999999</v>
      </c>
      <c r="AD63" s="22">
        <v>153588.26999999999</v>
      </c>
      <c r="AE63" s="22">
        <v>1100</v>
      </c>
      <c r="AF63" s="22"/>
      <c r="AG63" s="33">
        <v>316.54000000000002</v>
      </c>
      <c r="AH63" s="15"/>
      <c r="AI63" s="15"/>
      <c r="AJ63" s="15"/>
      <c r="AK63" s="11"/>
      <c r="AL63" s="11"/>
    </row>
    <row r="64" spans="1:38">
      <c r="A64" s="56" t="s">
        <v>15</v>
      </c>
      <c r="B64" s="57"/>
      <c r="C64" s="60">
        <v>-1470.89</v>
      </c>
      <c r="D64" s="60">
        <f t="shared" ref="D64" si="15">SUM(D66:D70)</f>
        <v>0</v>
      </c>
      <c r="E64" s="60">
        <f t="shared" ref="E64:AD64" si="16">SUM(E66:E70)</f>
        <v>741.25</v>
      </c>
      <c r="F64" s="60">
        <f t="shared" si="16"/>
        <v>0</v>
      </c>
      <c r="G64" s="60">
        <f t="shared" si="16"/>
        <v>0</v>
      </c>
      <c r="H64" s="60">
        <f t="shared" si="16"/>
        <v>0</v>
      </c>
      <c r="I64" s="60">
        <f t="shared" si="16"/>
        <v>0</v>
      </c>
      <c r="J64" s="60">
        <f t="shared" si="16"/>
        <v>0</v>
      </c>
      <c r="K64" s="60">
        <f t="shared" si="16"/>
        <v>0</v>
      </c>
      <c r="L64" s="60">
        <f t="shared" si="16"/>
        <v>0</v>
      </c>
      <c r="M64" s="60">
        <f t="shared" si="16"/>
        <v>0</v>
      </c>
      <c r="N64" s="60">
        <f t="shared" si="16"/>
        <v>0</v>
      </c>
      <c r="O64" s="60">
        <f t="shared" si="16"/>
        <v>0</v>
      </c>
      <c r="P64" s="60">
        <f t="shared" si="16"/>
        <v>0</v>
      </c>
      <c r="Q64" s="60">
        <f t="shared" si="16"/>
        <v>0</v>
      </c>
      <c r="R64" s="60">
        <f t="shared" si="16"/>
        <v>0</v>
      </c>
      <c r="S64" s="60">
        <f t="shared" si="16"/>
        <v>0</v>
      </c>
      <c r="T64" s="60">
        <f t="shared" si="16"/>
        <v>0</v>
      </c>
      <c r="U64" s="60">
        <f t="shared" si="16"/>
        <v>0</v>
      </c>
      <c r="V64" s="60">
        <f t="shared" si="16"/>
        <v>0</v>
      </c>
      <c r="W64" s="60">
        <f t="shared" si="16"/>
        <v>0</v>
      </c>
      <c r="X64" s="60">
        <f t="shared" si="16"/>
        <v>0</v>
      </c>
      <c r="Y64" s="60">
        <f t="shared" si="16"/>
        <v>0</v>
      </c>
      <c r="Z64" s="60">
        <f t="shared" si="16"/>
        <v>0</v>
      </c>
      <c r="AA64" s="60">
        <f t="shared" si="16"/>
        <v>0</v>
      </c>
      <c r="AB64" s="60">
        <f t="shared" si="16"/>
        <v>0</v>
      </c>
      <c r="AC64" s="71">
        <f>AC66+AC67+AC68+AC69+AC70</f>
        <v>84248.31</v>
      </c>
      <c r="AD64" s="71">
        <f t="shared" si="16"/>
        <v>0</v>
      </c>
      <c r="AE64" s="71">
        <f t="shared" ref="AE64:AF64" si="17">SUM(AE66:AE70)</f>
        <v>130082.92000000001</v>
      </c>
      <c r="AF64" s="71">
        <f t="shared" si="17"/>
        <v>0</v>
      </c>
      <c r="AG64" s="77">
        <f>AG66+AG67+AG68+AG69+AG70</f>
        <v>122664.07</v>
      </c>
      <c r="AH64" s="77">
        <f>AH66+AH67+AH68+AH69+AH70</f>
        <v>0</v>
      </c>
      <c r="AI64" s="77">
        <f>AI66+AI67+AI68+AI69+AI70</f>
        <v>0</v>
      </c>
      <c r="AJ64" s="77">
        <f>AJ66+AJ67+AJ68+AJ69+AJ70</f>
        <v>0</v>
      </c>
      <c r="AK64" s="65">
        <f>AG64/AE64-1</f>
        <v>-5.703169947292086E-2</v>
      </c>
      <c r="AL64" s="65" t="e">
        <f>AI64/AF64-1</f>
        <v>#DIV/0!</v>
      </c>
    </row>
    <row r="65" spans="1:38">
      <c r="A65" s="58"/>
      <c r="B65" s="5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70"/>
      <c r="AD65" s="70"/>
      <c r="AE65" s="74"/>
      <c r="AF65" s="70"/>
      <c r="AG65" s="78"/>
      <c r="AH65" s="78"/>
      <c r="AI65" s="78"/>
      <c r="AJ65" s="78"/>
      <c r="AK65" s="66"/>
      <c r="AL65" s="66"/>
    </row>
    <row r="66" spans="1:38" ht="42.6" customHeight="1">
      <c r="A66" s="67" t="s">
        <v>11</v>
      </c>
      <c r="B66" s="68"/>
      <c r="C66" s="2"/>
      <c r="D66" s="2"/>
      <c r="E66" s="2">
        <v>741.25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19"/>
      <c r="AD66" s="19"/>
      <c r="AE66" s="19">
        <v>5034.4399999999996</v>
      </c>
      <c r="AF66" s="16"/>
      <c r="AG66" s="26">
        <v>354.61</v>
      </c>
      <c r="AH66" s="26"/>
      <c r="AI66" s="26"/>
      <c r="AJ66" s="26"/>
      <c r="AK66" s="14"/>
      <c r="AL66" s="14"/>
    </row>
    <row r="67" spans="1:38" ht="25.8" customHeight="1">
      <c r="A67" s="67" t="s">
        <v>8</v>
      </c>
      <c r="B67" s="68"/>
      <c r="C67" s="2"/>
      <c r="D67" s="2"/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19">
        <v>53091.66</v>
      </c>
      <c r="AD67" s="19"/>
      <c r="AE67" s="19">
        <v>81730</v>
      </c>
      <c r="AF67" s="16"/>
      <c r="AG67" s="26">
        <v>82376</v>
      </c>
      <c r="AH67" s="26"/>
      <c r="AI67" s="26"/>
      <c r="AJ67" s="26"/>
      <c r="AK67" s="14"/>
      <c r="AL67" s="14"/>
    </row>
    <row r="68" spans="1:38" ht="43.95" customHeight="1">
      <c r="A68" s="67" t="s">
        <v>9</v>
      </c>
      <c r="B68" s="68"/>
      <c r="C68" s="2"/>
      <c r="D68" s="2"/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19">
        <v>31156.65</v>
      </c>
      <c r="AD68" s="19"/>
      <c r="AE68" s="19">
        <v>43318.48</v>
      </c>
      <c r="AF68" s="16"/>
      <c r="AG68" s="26">
        <v>39933.46</v>
      </c>
      <c r="AH68" s="26"/>
      <c r="AI68" s="26"/>
      <c r="AJ68" s="26"/>
      <c r="AK68" s="14"/>
      <c r="AL68" s="14"/>
    </row>
    <row r="69" spans="1:38" ht="25.8" customHeight="1">
      <c r="A69" s="67" t="s">
        <v>10</v>
      </c>
      <c r="B69" s="6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19"/>
      <c r="AD69" s="26"/>
      <c r="AE69" s="16"/>
      <c r="AF69" s="16"/>
      <c r="AG69" s="16"/>
      <c r="AH69" s="16"/>
      <c r="AI69" s="16"/>
      <c r="AJ69" s="16"/>
      <c r="AK69" s="14"/>
      <c r="AL69" s="14"/>
    </row>
    <row r="70" spans="1:38" ht="25.2" customHeight="1">
      <c r="A70" s="67" t="s">
        <v>16</v>
      </c>
      <c r="B70" s="6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16"/>
      <c r="AD70" s="16"/>
      <c r="AE70" s="16"/>
      <c r="AF70" s="16"/>
      <c r="AG70" s="16"/>
      <c r="AH70" s="16"/>
      <c r="AI70" s="16"/>
      <c r="AJ70" s="16"/>
      <c r="AK70" s="14"/>
      <c r="AL70" s="14"/>
    </row>
    <row r="71" spans="1:38" ht="57.6" hidden="1" customHeight="1">
      <c r="A71" s="9" t="s">
        <v>25</v>
      </c>
      <c r="B71" s="9"/>
      <c r="C71" s="12">
        <v>3090165.46</v>
      </c>
      <c r="D71" s="12">
        <v>3090165.46</v>
      </c>
      <c r="E71" s="12">
        <f>SUM(E72:E74)</f>
        <v>0</v>
      </c>
      <c r="F71" s="12">
        <f>SUM(F72:F74)</f>
        <v>0</v>
      </c>
      <c r="G71" s="12">
        <f t="shared" ref="G71:AB71" si="18">SUM(G72:G74)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2">
        <f t="shared" si="18"/>
        <v>0</v>
      </c>
      <c r="R71" s="12">
        <f t="shared" si="18"/>
        <v>0</v>
      </c>
      <c r="S71" s="12">
        <f t="shared" si="18"/>
        <v>0</v>
      </c>
      <c r="T71" s="12">
        <f t="shared" si="18"/>
        <v>0</v>
      </c>
      <c r="U71" s="12">
        <f t="shared" si="18"/>
        <v>0</v>
      </c>
      <c r="V71" s="12">
        <f t="shared" si="18"/>
        <v>0</v>
      </c>
      <c r="W71" s="12">
        <f t="shared" si="18"/>
        <v>0</v>
      </c>
      <c r="X71" s="12">
        <f t="shared" si="18"/>
        <v>0</v>
      </c>
      <c r="Y71" s="12">
        <f t="shared" si="18"/>
        <v>0</v>
      </c>
      <c r="Z71" s="12">
        <f t="shared" si="18"/>
        <v>0</v>
      </c>
      <c r="AA71" s="12">
        <f t="shared" si="18"/>
        <v>0</v>
      </c>
      <c r="AB71" s="12">
        <f t="shared" si="18"/>
        <v>0</v>
      </c>
      <c r="AC71" s="28"/>
      <c r="AD71" s="28"/>
      <c r="AE71" s="28"/>
      <c r="AF71" s="28"/>
      <c r="AG71" s="28"/>
      <c r="AH71" s="28"/>
      <c r="AI71" s="28"/>
      <c r="AJ71" s="28"/>
      <c r="AK71" s="65">
        <v>0</v>
      </c>
      <c r="AL71" s="65">
        <v>0</v>
      </c>
    </row>
    <row r="72" spans="1:38" ht="14.4" hidden="1" customHeight="1">
      <c r="A72" s="67" t="s">
        <v>10</v>
      </c>
      <c r="B72" s="72"/>
      <c r="C72" s="2"/>
      <c r="D72" s="2"/>
      <c r="E72" s="2"/>
      <c r="F72" s="2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16"/>
      <c r="AD72" s="16"/>
      <c r="AE72" s="16"/>
      <c r="AF72" s="16"/>
      <c r="AG72" s="30"/>
      <c r="AH72" s="30"/>
      <c r="AI72" s="30"/>
      <c r="AJ72" s="30"/>
      <c r="AK72" s="66"/>
      <c r="AL72" s="66"/>
    </row>
    <row r="73" spans="1:38" ht="14.4" hidden="1" customHeight="1">
      <c r="A73" s="73" t="s">
        <v>24</v>
      </c>
      <c r="B73" s="72"/>
      <c r="C73" s="12">
        <f>4008760.53+5844431.63+14283.75+179317.37</f>
        <v>10046793.279999999</v>
      </c>
      <c r="D73" s="12">
        <f>989699.04+1910943.77</f>
        <v>2900642.81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7"/>
      <c r="AD73" s="17"/>
      <c r="AE73" s="17"/>
      <c r="AF73" s="17"/>
      <c r="AG73" s="17"/>
      <c r="AH73" s="17"/>
      <c r="AI73" s="17"/>
      <c r="AJ73" s="17"/>
      <c r="AK73" s="7"/>
      <c r="AL73" s="7"/>
    </row>
    <row r="74" spans="1:38" ht="14.4" hidden="1" customHeight="1">
      <c r="A74" s="10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16"/>
      <c r="AD74" s="16"/>
      <c r="AE74" s="16"/>
      <c r="AF74" s="16"/>
      <c r="AG74" s="16"/>
      <c r="AH74" s="16"/>
      <c r="AI74" s="16"/>
      <c r="AJ74" s="16"/>
      <c r="AK74" s="14"/>
      <c r="AL74" s="14"/>
    </row>
    <row r="75" spans="1:38">
      <c r="A75" s="73" t="s">
        <v>12</v>
      </c>
      <c r="B75" s="72"/>
      <c r="C75" s="13">
        <f>C8+C15+C22+C29+C36+C43+C50+C57+C64+C71+C73</f>
        <v>94587677.819999993</v>
      </c>
      <c r="D75" s="13">
        <f>D8+D15+D22+D29+D36+D43+D50+D57+D64+D71+D73</f>
        <v>68008770.719999999</v>
      </c>
      <c r="E75" s="13">
        <f>E8+E15+E22+E29+E36+E43+E50+E57+E64+E71</f>
        <v>85864729.75999999</v>
      </c>
      <c r="F75" s="13">
        <f>F8+F15+F22+F29+F36+F43+F50+F57+F64+F71</f>
        <v>66510808.209999993</v>
      </c>
      <c r="G75" s="13">
        <f t="shared" ref="G75:Y75" si="19">G8+G15+G22+G29+G36+G43+G50+G57+G64+G71</f>
        <v>93511066.090000018</v>
      </c>
      <c r="H75" s="13">
        <f t="shared" si="19"/>
        <v>66963948.660000004</v>
      </c>
      <c r="I75" s="13">
        <f t="shared" si="19"/>
        <v>92440148.88000001</v>
      </c>
      <c r="J75" s="13">
        <f t="shared" si="19"/>
        <v>69371696.100000009</v>
      </c>
      <c r="K75" s="13">
        <f t="shared" si="19"/>
        <v>93692017.959999993</v>
      </c>
      <c r="L75" s="13">
        <f t="shared" si="19"/>
        <v>72494645.030000001</v>
      </c>
      <c r="M75" s="13">
        <f t="shared" si="19"/>
        <v>95350288.340000004</v>
      </c>
      <c r="N75" s="13">
        <f t="shared" si="19"/>
        <v>74699098.340000004</v>
      </c>
      <c r="O75" s="13">
        <f t="shared" si="19"/>
        <v>92952938.269999996</v>
      </c>
      <c r="P75" s="13">
        <f t="shared" si="19"/>
        <v>82357876.220000014</v>
      </c>
      <c r="Q75" s="13">
        <f t="shared" si="19"/>
        <v>97449531.209999979</v>
      </c>
      <c r="R75" s="13">
        <f t="shared" si="19"/>
        <v>74441297.569999993</v>
      </c>
      <c r="S75" s="13">
        <f t="shared" si="19"/>
        <v>96755275.489999995</v>
      </c>
      <c r="T75" s="13">
        <f t="shared" si="19"/>
        <v>74719949.890000001</v>
      </c>
      <c r="U75" s="13">
        <f t="shared" si="19"/>
        <v>97352731.719999984</v>
      </c>
      <c r="V75" s="13">
        <f t="shared" si="19"/>
        <v>74918061.669999987</v>
      </c>
      <c r="W75" s="13">
        <f t="shared" si="19"/>
        <v>103431682.53</v>
      </c>
      <c r="X75" s="13">
        <f t="shared" si="19"/>
        <v>71550048.36999999</v>
      </c>
      <c r="Y75" s="13">
        <f t="shared" si="19"/>
        <v>139512827.16999999</v>
      </c>
      <c r="Z75" s="13">
        <f>Z8+Z15+Z22+Z29+Z36+Z43+Z50+Z57+Z64+Z71</f>
        <v>116277638.82999998</v>
      </c>
      <c r="AA75" s="13">
        <f t="shared" ref="AA75:AC75" si="20">AA8+AA15+AA22+AA29+AA36+AA43+AA50+AA57+AA64+AA71</f>
        <v>91678410.280000001</v>
      </c>
      <c r="AB75" s="13">
        <f t="shared" si="20"/>
        <v>71432870.559999987</v>
      </c>
      <c r="AC75" s="23">
        <f t="shared" si="20"/>
        <v>136792938.08000001</v>
      </c>
      <c r="AD75" s="23">
        <f>AD8+AD15+AD22+AD29+AD36+AD43+AD50+AD57+AD64+AD71</f>
        <v>43344897.469999999</v>
      </c>
      <c r="AE75" s="23">
        <f t="shared" ref="AE75:AF75" si="21">AE8+AE15+AE22+AE29+AE36+AE43+AE50+AE57+AE64+AE71</f>
        <v>211086618.58000001</v>
      </c>
      <c r="AF75" s="23">
        <f t="shared" si="21"/>
        <v>119975047.31999999</v>
      </c>
      <c r="AG75" s="13">
        <f>AG8+AG15+AG22+AG29+AG36+AG43+AG57+AG64</f>
        <v>210062888.64999998</v>
      </c>
      <c r="AH75" s="13">
        <f>AH8+AH15+AH22+AH29+AH36+AH43+AH57+AH64</f>
        <v>99495187.609999999</v>
      </c>
      <c r="AI75" s="13">
        <f>AI8+AI15+AI22+AI29+AI36+AI43+AI57+AI64</f>
        <v>86313931.799999982</v>
      </c>
      <c r="AJ75" s="13">
        <f>AJ8+AJ15+AJ22+AJ29+AJ36+AJ43+AJ57+AJ64</f>
        <v>23141374.309999999</v>
      </c>
      <c r="AK75" s="31">
        <f>AG75/AE75-1</f>
        <v>-4.8498096984392891E-3</v>
      </c>
      <c r="AL75" s="31">
        <f>AI75/AF75-1</f>
        <v>-0.28056763695386067</v>
      </c>
    </row>
    <row r="76" spans="1:38" ht="42" customHeight="1">
      <c r="A76" s="67" t="s">
        <v>11</v>
      </c>
      <c r="B76" s="72"/>
      <c r="C76" s="2">
        <f t="shared" ref="C76:AF80" si="22">C10+C17+C24+C31+C38+C45+C52+C59+C66</f>
        <v>0</v>
      </c>
      <c r="D76" s="2">
        <f t="shared" si="22"/>
        <v>0</v>
      </c>
      <c r="E76" s="2">
        <f t="shared" si="22"/>
        <v>17953226.410000004</v>
      </c>
      <c r="F76" s="2">
        <f t="shared" si="22"/>
        <v>6382951.8399999943</v>
      </c>
      <c r="G76" s="2">
        <f t="shared" si="22"/>
        <v>19216097.170000002</v>
      </c>
      <c r="H76" s="2">
        <f t="shared" si="22"/>
        <v>6555841.7200000007</v>
      </c>
      <c r="I76" s="2">
        <f t="shared" si="22"/>
        <v>22865503.460000001</v>
      </c>
      <c r="J76" s="2">
        <f t="shared" si="22"/>
        <v>5864947.9199999999</v>
      </c>
      <c r="K76" s="2">
        <f t="shared" si="22"/>
        <v>17090632.079999998</v>
      </c>
      <c r="L76" s="2">
        <f t="shared" si="22"/>
        <v>5837825.0099999998</v>
      </c>
      <c r="M76" s="2">
        <f t="shared" si="22"/>
        <v>16099291.18</v>
      </c>
      <c r="N76" s="2">
        <f t="shared" si="22"/>
        <v>7784857.7199999997</v>
      </c>
      <c r="O76" s="2">
        <f t="shared" si="22"/>
        <v>16094244.300000001</v>
      </c>
      <c r="P76" s="2">
        <f t="shared" si="22"/>
        <v>7902977.2199999997</v>
      </c>
      <c r="Q76" s="2">
        <f t="shared" si="22"/>
        <v>20791692.359999999</v>
      </c>
      <c r="R76" s="2">
        <f t="shared" si="22"/>
        <v>7175180.9199999999</v>
      </c>
      <c r="S76" s="2">
        <f t="shared" si="22"/>
        <v>20070445.379999999</v>
      </c>
      <c r="T76" s="2">
        <f t="shared" si="22"/>
        <v>6987489.4900000002</v>
      </c>
      <c r="U76" s="2">
        <f t="shared" si="22"/>
        <v>24410984.270000003</v>
      </c>
      <c r="V76" s="2">
        <f t="shared" si="22"/>
        <v>4182653.4699999997</v>
      </c>
      <c r="W76" s="2">
        <f t="shared" si="22"/>
        <v>34358661.780000001</v>
      </c>
      <c r="X76" s="2">
        <f t="shared" si="22"/>
        <v>4756662.17</v>
      </c>
      <c r="Y76" s="2">
        <f t="shared" si="22"/>
        <v>37550191.880000003</v>
      </c>
      <c r="Z76" s="2">
        <f t="shared" si="22"/>
        <v>19969076.690000001</v>
      </c>
      <c r="AA76" s="2">
        <f t="shared" si="22"/>
        <v>19131225.359999999</v>
      </c>
      <c r="AB76" s="2">
        <f t="shared" si="22"/>
        <v>2260154.08</v>
      </c>
      <c r="AC76" s="19">
        <f t="shared" si="22"/>
        <v>78679277.219999999</v>
      </c>
      <c r="AD76" s="19">
        <f t="shared" si="22"/>
        <v>28544503.479999997</v>
      </c>
      <c r="AE76" s="19">
        <f t="shared" si="22"/>
        <v>97897786.019999981</v>
      </c>
      <c r="AF76" s="19">
        <f t="shared" si="22"/>
        <v>50095879.390000001</v>
      </c>
      <c r="AG76" s="26">
        <f t="shared" ref="AG76:AJ80" si="23">AG10+AG17+AG24+AG31+AG38+AG45+AG59+AG66</f>
        <v>108565286.30999999</v>
      </c>
      <c r="AH76" s="26">
        <f>AH10+AH17+AH24+AH31+AH38+AH45+AH59+AH66</f>
        <v>66674832.540000007</v>
      </c>
      <c r="AI76" s="26">
        <f t="shared" si="23"/>
        <v>32847516.43</v>
      </c>
      <c r="AJ76" s="26">
        <f t="shared" si="23"/>
        <v>21260780.43</v>
      </c>
      <c r="AK76" s="32"/>
      <c r="AL76" s="32"/>
    </row>
    <row r="77" spans="1:38">
      <c r="A77" s="67" t="s">
        <v>8</v>
      </c>
      <c r="B77" s="72"/>
      <c r="C77" s="2">
        <f t="shared" si="22"/>
        <v>0</v>
      </c>
      <c r="D77" s="2">
        <f t="shared" si="22"/>
        <v>0</v>
      </c>
      <c r="E77" s="2">
        <f t="shared" si="22"/>
        <v>0</v>
      </c>
      <c r="F77" s="2">
        <f t="shared" si="22"/>
        <v>0</v>
      </c>
      <c r="G77" s="2">
        <f t="shared" si="22"/>
        <v>1611249.67</v>
      </c>
      <c r="H77" s="2">
        <f t="shared" si="22"/>
        <v>0</v>
      </c>
      <c r="I77" s="2">
        <f t="shared" si="22"/>
        <v>1404831.87</v>
      </c>
      <c r="J77" s="2">
        <f t="shared" si="22"/>
        <v>0</v>
      </c>
      <c r="K77" s="2">
        <f t="shared" si="22"/>
        <v>2089553.3599999999</v>
      </c>
      <c r="L77" s="2">
        <f t="shared" si="22"/>
        <v>0</v>
      </c>
      <c r="M77" s="2">
        <f t="shared" si="22"/>
        <v>1291836.76</v>
      </c>
      <c r="N77" s="2">
        <f t="shared" si="22"/>
        <v>0</v>
      </c>
      <c r="O77" s="2">
        <f t="shared" si="22"/>
        <v>1343049.24</v>
      </c>
      <c r="P77" s="2">
        <f t="shared" si="22"/>
        <v>0</v>
      </c>
      <c r="Q77" s="2">
        <f t="shared" si="22"/>
        <v>1452525.99</v>
      </c>
      <c r="R77" s="2">
        <f t="shared" si="22"/>
        <v>0</v>
      </c>
      <c r="S77" s="2">
        <f t="shared" si="22"/>
        <v>1242140.78</v>
      </c>
      <c r="T77" s="2">
        <f t="shared" si="22"/>
        <v>0</v>
      </c>
      <c r="U77" s="2">
        <f t="shared" si="22"/>
        <v>1196585.6499999999</v>
      </c>
      <c r="V77" s="2">
        <f t="shared" si="22"/>
        <v>0</v>
      </c>
      <c r="W77" s="2">
        <f t="shared" si="22"/>
        <v>1283435.7</v>
      </c>
      <c r="X77" s="2">
        <f t="shared" si="22"/>
        <v>0</v>
      </c>
      <c r="Y77" s="2">
        <f t="shared" si="22"/>
        <v>0</v>
      </c>
      <c r="Z77" s="2">
        <f t="shared" si="22"/>
        <v>0</v>
      </c>
      <c r="AA77" s="2">
        <f t="shared" si="22"/>
        <v>0</v>
      </c>
      <c r="AB77" s="2">
        <f t="shared" si="22"/>
        <v>0</v>
      </c>
      <c r="AC77" s="19">
        <f t="shared" si="22"/>
        <v>28007459.789999999</v>
      </c>
      <c r="AD77" s="19">
        <f t="shared" si="22"/>
        <v>0</v>
      </c>
      <c r="AE77" s="19">
        <f t="shared" si="22"/>
        <v>33425614.419999998</v>
      </c>
      <c r="AF77" s="19">
        <f t="shared" si="22"/>
        <v>0</v>
      </c>
      <c r="AG77" s="26">
        <f t="shared" si="23"/>
        <v>33462185.5</v>
      </c>
      <c r="AH77" s="26">
        <f t="shared" si="23"/>
        <v>18386199.240000002</v>
      </c>
      <c r="AI77" s="26">
        <f t="shared" si="23"/>
        <v>0</v>
      </c>
      <c r="AJ77" s="26">
        <f t="shared" si="23"/>
        <v>0</v>
      </c>
      <c r="AK77" s="3"/>
      <c r="AL77" s="3"/>
    </row>
    <row r="78" spans="1:38" ht="41.4" customHeight="1">
      <c r="A78" s="67" t="s">
        <v>9</v>
      </c>
      <c r="B78" s="72"/>
      <c r="C78" s="2">
        <f t="shared" si="22"/>
        <v>0</v>
      </c>
      <c r="D78" s="2">
        <f t="shared" si="22"/>
        <v>0</v>
      </c>
      <c r="E78" s="2">
        <f t="shared" si="22"/>
        <v>5781112.8999999994</v>
      </c>
      <c r="F78" s="2">
        <f t="shared" si="22"/>
        <v>0</v>
      </c>
      <c r="G78" s="2">
        <f t="shared" si="22"/>
        <v>841993.46</v>
      </c>
      <c r="H78" s="2">
        <f t="shared" si="22"/>
        <v>0</v>
      </c>
      <c r="I78" s="2">
        <f t="shared" si="22"/>
        <v>730672.66</v>
      </c>
      <c r="J78" s="2">
        <f t="shared" si="22"/>
        <v>0</v>
      </c>
      <c r="K78" s="2">
        <f t="shared" si="22"/>
        <v>907890.05999999994</v>
      </c>
      <c r="L78" s="2">
        <f t="shared" si="22"/>
        <v>0</v>
      </c>
      <c r="M78" s="2">
        <f t="shared" si="22"/>
        <v>596611.02</v>
      </c>
      <c r="N78" s="2">
        <f t="shared" si="22"/>
        <v>0</v>
      </c>
      <c r="O78" s="2">
        <f t="shared" si="22"/>
        <v>806056.14</v>
      </c>
      <c r="P78" s="2">
        <f t="shared" si="22"/>
        <v>0</v>
      </c>
      <c r="Q78" s="2">
        <f t="shared" si="22"/>
        <v>910579.46000000008</v>
      </c>
      <c r="R78" s="2">
        <f t="shared" si="22"/>
        <v>0</v>
      </c>
      <c r="S78" s="2">
        <f t="shared" si="22"/>
        <v>832315.84</v>
      </c>
      <c r="T78" s="2">
        <f t="shared" si="22"/>
        <v>0</v>
      </c>
      <c r="U78" s="2">
        <f t="shared" si="22"/>
        <v>786043.03</v>
      </c>
      <c r="V78" s="2">
        <f t="shared" si="22"/>
        <v>0</v>
      </c>
      <c r="W78" s="2">
        <f t="shared" si="22"/>
        <v>782576.37000000011</v>
      </c>
      <c r="X78" s="2">
        <f t="shared" si="22"/>
        <v>0</v>
      </c>
      <c r="Y78" s="2">
        <f t="shared" si="22"/>
        <v>4770499.5100000007</v>
      </c>
      <c r="Z78" s="2">
        <f t="shared" si="22"/>
        <v>0</v>
      </c>
      <c r="AA78" s="2">
        <f t="shared" si="22"/>
        <v>968977.27</v>
      </c>
      <c r="AB78" s="2">
        <f t="shared" si="22"/>
        <v>0</v>
      </c>
      <c r="AC78" s="19">
        <f t="shared" si="22"/>
        <v>11517101.640000001</v>
      </c>
      <c r="AD78" s="19">
        <f t="shared" si="22"/>
        <v>0</v>
      </c>
      <c r="AE78" s="19">
        <f t="shared" si="22"/>
        <v>17564868.849999998</v>
      </c>
      <c r="AF78" s="19">
        <f t="shared" si="22"/>
        <v>11291466.59</v>
      </c>
      <c r="AG78" s="26">
        <f t="shared" si="23"/>
        <v>25972037.23</v>
      </c>
      <c r="AH78" s="26">
        <f t="shared" si="23"/>
        <v>12978010.970000001</v>
      </c>
      <c r="AI78" s="26">
        <f t="shared" si="23"/>
        <v>14772077.07</v>
      </c>
      <c r="AJ78" s="26">
        <f t="shared" si="23"/>
        <v>1220473.1199999999</v>
      </c>
      <c r="AK78" s="3"/>
      <c r="AL78" s="3"/>
    </row>
    <row r="79" spans="1:38" ht="13.2" customHeight="1">
      <c r="A79" s="67" t="s">
        <v>10</v>
      </c>
      <c r="B79" s="72"/>
      <c r="C79" s="2">
        <f t="shared" ref="C79:AA79" si="24">C13+C20+C27+C34+C41+C48+C55+C62+C69+C72</f>
        <v>0</v>
      </c>
      <c r="D79" s="2">
        <f t="shared" si="24"/>
        <v>0</v>
      </c>
      <c r="E79" s="2">
        <f t="shared" si="24"/>
        <v>60461371.310000002</v>
      </c>
      <c r="F79" s="2">
        <f t="shared" si="24"/>
        <v>58245420.57</v>
      </c>
      <c r="G79" s="2">
        <f t="shared" si="24"/>
        <v>69929562.310000002</v>
      </c>
      <c r="H79" s="2">
        <f t="shared" si="24"/>
        <v>58525671.140000001</v>
      </c>
      <c r="I79" s="2">
        <f t="shared" si="24"/>
        <v>65526882.990000002</v>
      </c>
      <c r="J79" s="2">
        <f t="shared" si="24"/>
        <v>61624312.380000003</v>
      </c>
      <c r="K79" s="2">
        <f t="shared" si="24"/>
        <v>71721506.659999996</v>
      </c>
      <c r="L79" s="2">
        <f t="shared" si="24"/>
        <v>64774384.220000006</v>
      </c>
      <c r="M79" s="2">
        <f t="shared" si="24"/>
        <v>75480113.579999998</v>
      </c>
      <c r="N79" s="2">
        <f t="shared" si="24"/>
        <v>65031804.82</v>
      </c>
      <c r="O79" s="2">
        <f t="shared" si="24"/>
        <v>72791361.200000003</v>
      </c>
      <c r="P79" s="2">
        <f t="shared" si="24"/>
        <v>72572463.200000003</v>
      </c>
      <c r="Q79" s="2">
        <f t="shared" si="24"/>
        <v>72380297.609999999</v>
      </c>
      <c r="R79" s="2">
        <f t="shared" si="24"/>
        <v>65383680.850000001</v>
      </c>
      <c r="S79" s="2">
        <f t="shared" si="24"/>
        <v>72695876.399999991</v>
      </c>
      <c r="T79" s="2">
        <f t="shared" si="24"/>
        <v>65850024.600000001</v>
      </c>
      <c r="U79" s="2">
        <f t="shared" si="24"/>
        <v>69041659.049999997</v>
      </c>
      <c r="V79" s="2">
        <f t="shared" si="24"/>
        <v>68852972.399999991</v>
      </c>
      <c r="W79" s="2">
        <f t="shared" si="24"/>
        <v>65102023.400000006</v>
      </c>
      <c r="X79" s="2">
        <f t="shared" si="24"/>
        <v>64910950.400000006</v>
      </c>
      <c r="Y79" s="2">
        <f t="shared" si="24"/>
        <v>66208215.299999997</v>
      </c>
      <c r="Z79" s="2">
        <f t="shared" si="24"/>
        <v>65394874.099999994</v>
      </c>
      <c r="AA79" s="2">
        <f t="shared" si="24"/>
        <v>44812598.799999997</v>
      </c>
      <c r="AB79" s="2">
        <f t="shared" si="22"/>
        <v>43003795.009999998</v>
      </c>
      <c r="AC79" s="19">
        <f t="shared" si="22"/>
        <v>14182522.93</v>
      </c>
      <c r="AD79" s="19">
        <f t="shared" si="22"/>
        <v>12430432.640000001</v>
      </c>
      <c r="AE79" s="19">
        <f t="shared" si="22"/>
        <v>21845555.419999998</v>
      </c>
      <c r="AF79" s="19">
        <f t="shared" si="22"/>
        <v>20453326.48</v>
      </c>
      <c r="AG79" s="26">
        <f t="shared" si="23"/>
        <v>8512543.2200000007</v>
      </c>
      <c r="AH79" s="26">
        <f t="shared" si="23"/>
        <v>93556.36</v>
      </c>
      <c r="AI79" s="26">
        <f t="shared" si="23"/>
        <v>7493731.0800000001</v>
      </c>
      <c r="AJ79" s="26">
        <f t="shared" si="23"/>
        <v>0</v>
      </c>
      <c r="AK79" s="3"/>
      <c r="AL79" s="3"/>
    </row>
    <row r="80" spans="1:38" ht="14.4" customHeight="1">
      <c r="A80" s="67" t="s">
        <v>16</v>
      </c>
      <c r="B80" s="72"/>
      <c r="C80" s="2">
        <f t="shared" ref="C80:D80" si="25">C14+C21+C28+C35+C42+C49+C56+C63+C70</f>
        <v>0</v>
      </c>
      <c r="D80" s="2">
        <f t="shared" si="25"/>
        <v>0</v>
      </c>
      <c r="E80" s="2">
        <f t="shared" si="22"/>
        <v>1669019.14</v>
      </c>
      <c r="F80" s="2">
        <f t="shared" si="22"/>
        <v>1882435.7999999998</v>
      </c>
      <c r="G80" s="2">
        <f t="shared" si="22"/>
        <v>1912163.48</v>
      </c>
      <c r="H80" s="2">
        <f t="shared" si="22"/>
        <v>1882435.8</v>
      </c>
      <c r="I80" s="2">
        <f t="shared" si="22"/>
        <v>1912257.9000000001</v>
      </c>
      <c r="J80" s="2">
        <f t="shared" si="22"/>
        <v>1882435.8</v>
      </c>
      <c r="K80" s="2">
        <f t="shared" si="22"/>
        <v>1882435.8</v>
      </c>
      <c r="L80" s="2">
        <f t="shared" si="22"/>
        <v>1882435.8</v>
      </c>
      <c r="M80" s="2">
        <f t="shared" si="22"/>
        <v>1882435.8</v>
      </c>
      <c r="N80" s="2">
        <f t="shared" si="22"/>
        <v>1882435.8</v>
      </c>
      <c r="O80" s="2">
        <f t="shared" si="22"/>
        <v>1918227.3900000001</v>
      </c>
      <c r="P80" s="2">
        <f t="shared" si="22"/>
        <v>1882435.8</v>
      </c>
      <c r="Q80" s="2">
        <f t="shared" si="22"/>
        <v>1914435.79</v>
      </c>
      <c r="R80" s="2">
        <f t="shared" si="22"/>
        <v>1882435.8</v>
      </c>
      <c r="S80" s="2">
        <f t="shared" si="22"/>
        <v>1914497.09</v>
      </c>
      <c r="T80" s="2">
        <f t="shared" si="22"/>
        <v>1882435.8</v>
      </c>
      <c r="U80" s="2">
        <f t="shared" si="22"/>
        <v>1917459.72</v>
      </c>
      <c r="V80" s="2">
        <f t="shared" si="22"/>
        <v>1882435.8</v>
      </c>
      <c r="W80" s="2">
        <f t="shared" si="22"/>
        <v>1904985.28</v>
      </c>
      <c r="X80" s="2">
        <f t="shared" si="22"/>
        <v>1882435.8</v>
      </c>
      <c r="Y80" s="2">
        <f t="shared" si="22"/>
        <v>30983920.480000004</v>
      </c>
      <c r="Z80" s="2">
        <f t="shared" si="22"/>
        <v>30913688.039999999</v>
      </c>
      <c r="AA80" s="2">
        <f t="shared" si="22"/>
        <v>26765608.850000001</v>
      </c>
      <c r="AB80" s="2">
        <f t="shared" si="22"/>
        <v>26168921.469999999</v>
      </c>
      <c r="AC80" s="19">
        <f t="shared" si="22"/>
        <v>4406576.5</v>
      </c>
      <c r="AD80" s="19">
        <f t="shared" si="22"/>
        <v>2369961.35</v>
      </c>
      <c r="AE80" s="19">
        <f t="shared" si="22"/>
        <v>40352793.869999997</v>
      </c>
      <c r="AF80" s="19">
        <f t="shared" si="22"/>
        <v>38134374.859999999</v>
      </c>
      <c r="AG80" s="26">
        <f t="shared" si="23"/>
        <v>33550836.390000001</v>
      </c>
      <c r="AH80" s="26">
        <f t="shared" si="23"/>
        <v>1362588.5</v>
      </c>
      <c r="AI80" s="26">
        <f t="shared" si="23"/>
        <v>31200607.219999999</v>
      </c>
      <c r="AJ80" s="26">
        <f t="shared" si="23"/>
        <v>660120.76</v>
      </c>
      <c r="AK80" s="3"/>
      <c r="AL80" s="3"/>
    </row>
    <row r="81" spans="1:38" ht="25.95" customHeight="1">
      <c r="A81" s="73" t="s">
        <v>20</v>
      </c>
      <c r="B81" s="72"/>
      <c r="C81" s="4">
        <v>19700824</v>
      </c>
      <c r="D81" s="4"/>
      <c r="E81" s="4">
        <v>30646350</v>
      </c>
      <c r="F81" s="4"/>
      <c r="G81" s="4">
        <v>30646350</v>
      </c>
      <c r="H81" s="4"/>
      <c r="I81" s="4">
        <v>30646350</v>
      </c>
      <c r="J81" s="4"/>
      <c r="K81" s="4">
        <v>30646350</v>
      </c>
      <c r="L81" s="4"/>
      <c r="M81" s="4">
        <v>30646350</v>
      </c>
      <c r="N81" s="4"/>
      <c r="O81" s="4">
        <v>30646350</v>
      </c>
      <c r="P81" s="4"/>
      <c r="Q81" s="4">
        <v>30646350</v>
      </c>
      <c r="R81" s="4"/>
      <c r="S81" s="4">
        <v>39646350</v>
      </c>
      <c r="T81" s="4"/>
      <c r="U81" s="4">
        <v>39646350</v>
      </c>
      <c r="V81" s="4"/>
      <c r="W81" s="4">
        <v>39646350</v>
      </c>
      <c r="X81" s="4"/>
      <c r="Y81" s="4">
        <v>39592849</v>
      </c>
      <c r="Z81" s="4"/>
      <c r="AA81" s="4">
        <v>58064462</v>
      </c>
      <c r="AB81" s="4"/>
      <c r="AC81" s="25">
        <v>43884741</v>
      </c>
      <c r="AD81" s="21"/>
      <c r="AE81" s="25">
        <v>38729175</v>
      </c>
      <c r="AF81" s="21"/>
      <c r="AG81" s="4">
        <v>15529000</v>
      </c>
      <c r="AH81" s="21"/>
      <c r="AI81" s="21"/>
      <c r="AJ81" s="21"/>
      <c r="AK81" s="3"/>
      <c r="AL81" s="3"/>
    </row>
    <row r="82" spans="1:38">
      <c r="A82" s="73" t="s">
        <v>21</v>
      </c>
      <c r="B82" s="72"/>
      <c r="C82" s="4">
        <f t="shared" ref="C82:AC82" si="26">C75+C81</f>
        <v>114288501.81999999</v>
      </c>
      <c r="D82" s="4">
        <f t="shared" si="26"/>
        <v>68008770.719999999</v>
      </c>
      <c r="E82" s="4">
        <f t="shared" si="26"/>
        <v>116511079.75999999</v>
      </c>
      <c r="F82" s="4">
        <f t="shared" si="26"/>
        <v>66510808.209999993</v>
      </c>
      <c r="G82" s="4">
        <f t="shared" si="26"/>
        <v>124157416.09000002</v>
      </c>
      <c r="H82" s="4">
        <f t="shared" si="26"/>
        <v>66963948.660000004</v>
      </c>
      <c r="I82" s="4">
        <f t="shared" si="26"/>
        <v>123086498.88000001</v>
      </c>
      <c r="J82" s="4">
        <f t="shared" si="26"/>
        <v>69371696.100000009</v>
      </c>
      <c r="K82" s="4">
        <f t="shared" si="26"/>
        <v>124338367.95999999</v>
      </c>
      <c r="L82" s="4">
        <f t="shared" si="26"/>
        <v>72494645.030000001</v>
      </c>
      <c r="M82" s="4">
        <f t="shared" si="26"/>
        <v>125996638.34</v>
      </c>
      <c r="N82" s="4">
        <f t="shared" si="26"/>
        <v>74699098.340000004</v>
      </c>
      <c r="O82" s="4">
        <f t="shared" si="26"/>
        <v>123599288.27</v>
      </c>
      <c r="P82" s="4">
        <f t="shared" si="26"/>
        <v>82357876.220000014</v>
      </c>
      <c r="Q82" s="4">
        <f t="shared" si="26"/>
        <v>128095881.20999998</v>
      </c>
      <c r="R82" s="4">
        <f t="shared" si="26"/>
        <v>74441297.569999993</v>
      </c>
      <c r="S82" s="4">
        <f t="shared" si="26"/>
        <v>136401625.49000001</v>
      </c>
      <c r="T82" s="4">
        <f t="shared" si="26"/>
        <v>74719949.890000001</v>
      </c>
      <c r="U82" s="4">
        <f t="shared" si="26"/>
        <v>136999081.71999997</v>
      </c>
      <c r="V82" s="4">
        <f t="shared" si="26"/>
        <v>74918061.669999987</v>
      </c>
      <c r="W82" s="4">
        <f t="shared" si="26"/>
        <v>143078032.53</v>
      </c>
      <c r="X82" s="4">
        <f t="shared" si="26"/>
        <v>71550048.36999999</v>
      </c>
      <c r="Y82" s="4">
        <f t="shared" si="26"/>
        <v>179105676.16999999</v>
      </c>
      <c r="Z82" s="4">
        <f t="shared" si="26"/>
        <v>116277638.82999998</v>
      </c>
      <c r="AA82" s="4">
        <f t="shared" si="26"/>
        <v>149742872.28</v>
      </c>
      <c r="AB82" s="4">
        <f t="shared" si="26"/>
        <v>71432870.559999987</v>
      </c>
      <c r="AC82" s="25">
        <f t="shared" si="26"/>
        <v>180677679.08000001</v>
      </c>
      <c r="AD82" s="25">
        <f>AD75+AD81</f>
        <v>43344897.469999999</v>
      </c>
      <c r="AE82" s="25">
        <f t="shared" ref="AE82:AF82" si="27">AE75+AE81</f>
        <v>249815793.58000001</v>
      </c>
      <c r="AF82" s="25">
        <f t="shared" si="27"/>
        <v>119975047.31999999</v>
      </c>
      <c r="AG82" s="4">
        <f>AG75+AG81</f>
        <v>225591888.64999998</v>
      </c>
      <c r="AH82" s="4">
        <f>AH75+AH81</f>
        <v>99495187.609999999</v>
      </c>
      <c r="AI82" s="4">
        <f>AI75+AI81</f>
        <v>86313931.799999982</v>
      </c>
      <c r="AJ82" s="4">
        <f>AJ75+AJ81</f>
        <v>23141374.309999999</v>
      </c>
      <c r="AK82" s="32">
        <f>AG82/AE82-1</f>
        <v>-9.69670675454819E-2</v>
      </c>
      <c r="AL82" s="32">
        <f>AI82/AF82-1</f>
        <v>-0.28056763695386067</v>
      </c>
    </row>
    <row r="83" spans="1:38" hidden="1">
      <c r="A83" s="67" t="s">
        <v>22</v>
      </c>
      <c r="B83" s="7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18"/>
      <c r="AD83" s="18"/>
      <c r="AE83" s="18"/>
      <c r="AF83" s="18"/>
      <c r="AG83" s="18"/>
      <c r="AH83" s="18"/>
      <c r="AI83" s="18"/>
      <c r="AJ83" s="18"/>
      <c r="AK83" s="5"/>
      <c r="AL83" s="5"/>
    </row>
    <row r="84" spans="1:38" ht="44.4" hidden="1" customHeight="1">
      <c r="A84" s="67" t="s">
        <v>27</v>
      </c>
      <c r="B84" s="72"/>
      <c r="C84" s="5">
        <v>102575991</v>
      </c>
      <c r="D84" s="5">
        <v>63430848.460000001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18"/>
      <c r="AD84" s="18"/>
      <c r="AE84" s="18"/>
      <c r="AF84" s="18"/>
      <c r="AG84" s="18"/>
      <c r="AH84" s="18"/>
      <c r="AI84" s="18"/>
      <c r="AJ84" s="18"/>
      <c r="AK84" s="5"/>
      <c r="AL84" s="5"/>
    </row>
    <row r="85" spans="1:38" ht="56.4" hidden="1" customHeight="1">
      <c r="A85" s="67" t="s">
        <v>26</v>
      </c>
      <c r="B85" s="72"/>
      <c r="C85" s="5">
        <f>C82-C84</f>
        <v>11712510.819999993</v>
      </c>
      <c r="D85" s="5">
        <f>D82-D84</f>
        <v>4577922.2599999979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8"/>
      <c r="AD85" s="18"/>
      <c r="AE85" s="18"/>
      <c r="AF85" s="18"/>
      <c r="AG85" s="18"/>
      <c r="AH85" s="18"/>
      <c r="AI85" s="18"/>
      <c r="AJ85" s="18"/>
      <c r="AK85" s="5"/>
      <c r="AL85" s="5"/>
    </row>
    <row r="86" spans="1:38" ht="43.2" hidden="1" customHeight="1">
      <c r="A86" s="67" t="s">
        <v>40</v>
      </c>
      <c r="B86" s="7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v>26168921.469999999</v>
      </c>
      <c r="AB86" s="5">
        <v>26168921.469999999</v>
      </c>
      <c r="AC86" s="24">
        <v>2369961.35</v>
      </c>
      <c r="AD86" s="24">
        <v>2369961.35</v>
      </c>
      <c r="AE86" s="18"/>
      <c r="AF86" s="18"/>
      <c r="AG86" s="18"/>
      <c r="AH86" s="18"/>
      <c r="AI86" s="18"/>
      <c r="AJ86" s="18"/>
      <c r="AK86" s="5"/>
      <c r="AL86" s="5"/>
    </row>
  </sheetData>
  <mergeCells count="405"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E8:E9"/>
    <mergeCell ref="F8:F9"/>
    <mergeCell ref="G8:G9"/>
    <mergeCell ref="H8:H9"/>
    <mergeCell ref="S5:T6"/>
    <mergeCell ref="U5:V6"/>
    <mergeCell ref="U8:U9"/>
    <mergeCell ref="V8:V9"/>
    <mergeCell ref="W8:W9"/>
    <mergeCell ref="B1:AK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E5:AF6"/>
    <mergeCell ref="AG5:AJ6"/>
    <mergeCell ref="AK5:AL6"/>
    <mergeCell ref="W5:X6"/>
    <mergeCell ref="Y5:Z6"/>
    <mergeCell ref="AA5:AB6"/>
    <mergeCell ref="AC5:AD6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10:B10"/>
    <mergeCell ref="A11:B11"/>
    <mergeCell ref="A12:B12"/>
    <mergeCell ref="A13:B13"/>
    <mergeCell ref="A14:B14"/>
    <mergeCell ref="L8:L9"/>
    <mergeCell ref="M8:M9"/>
    <mergeCell ref="N8:N9"/>
    <mergeCell ref="A15:B16"/>
    <mergeCell ref="I8:I9"/>
    <mergeCell ref="J8:J9"/>
    <mergeCell ref="K8:K9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A8:B9"/>
    <mergeCell ref="C8:C9"/>
    <mergeCell ref="D8:D9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A17:B17"/>
    <mergeCell ref="A18:B18"/>
    <mergeCell ref="A19:B19"/>
    <mergeCell ref="A20:B20"/>
    <mergeCell ref="A21:B21"/>
    <mergeCell ref="A22:B23"/>
    <mergeCell ref="AG15:AG16"/>
    <mergeCell ref="AH15:AH16"/>
    <mergeCell ref="AI15:AI16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A24:B24"/>
    <mergeCell ref="A25:B25"/>
    <mergeCell ref="A26:B26"/>
    <mergeCell ref="A27:B27"/>
    <mergeCell ref="A28:B28"/>
    <mergeCell ref="A29:B30"/>
    <mergeCell ref="AG22:AG23"/>
    <mergeCell ref="AH22:AH23"/>
    <mergeCell ref="AI22:AI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A31:B31"/>
    <mergeCell ref="A32:B32"/>
    <mergeCell ref="A33:B33"/>
    <mergeCell ref="A34:B34"/>
    <mergeCell ref="A35:B35"/>
    <mergeCell ref="A36:B37"/>
    <mergeCell ref="AG29:AG30"/>
    <mergeCell ref="AH29:AH30"/>
    <mergeCell ref="AI29:AI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AJ36:AJ37"/>
    <mergeCell ref="AK36:AK37"/>
    <mergeCell ref="AL36:AL37"/>
    <mergeCell ref="AA36:AA37"/>
    <mergeCell ref="AB36:AB37"/>
    <mergeCell ref="AC36:AC37"/>
    <mergeCell ref="AD36:AD37"/>
    <mergeCell ref="AE36:AE37"/>
    <mergeCell ref="AF36:AF37"/>
    <mergeCell ref="A38:B38"/>
    <mergeCell ref="A39:B39"/>
    <mergeCell ref="A40:B40"/>
    <mergeCell ref="A41:B41"/>
    <mergeCell ref="A42:B42"/>
    <mergeCell ref="A43:B44"/>
    <mergeCell ref="AG36:AG37"/>
    <mergeCell ref="AH36:AH37"/>
    <mergeCell ref="AI36:AI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A45:B45"/>
    <mergeCell ref="A46:B46"/>
    <mergeCell ref="A47:B47"/>
    <mergeCell ref="A48:B48"/>
    <mergeCell ref="A49:B49"/>
    <mergeCell ref="A50:B51"/>
    <mergeCell ref="AG43:AG44"/>
    <mergeCell ref="AH43:AH44"/>
    <mergeCell ref="AI43:AI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AL50:AL51"/>
    <mergeCell ref="A52:B52"/>
    <mergeCell ref="A53:B53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A54:B54"/>
    <mergeCell ref="A55:B55"/>
    <mergeCell ref="A56:B56"/>
    <mergeCell ref="A57:B58"/>
    <mergeCell ref="C57:C58"/>
    <mergeCell ref="D57:D58"/>
    <mergeCell ref="AA50:AA51"/>
    <mergeCell ref="AB50:AB51"/>
    <mergeCell ref="AK50:AK51"/>
    <mergeCell ref="F50:F51"/>
    <mergeCell ref="G50:G51"/>
    <mergeCell ref="H50:H51"/>
    <mergeCell ref="K57:K58"/>
    <mergeCell ref="L57:L58"/>
    <mergeCell ref="M57:M58"/>
    <mergeCell ref="N57:N58"/>
    <mergeCell ref="O57:O58"/>
    <mergeCell ref="P57:P58"/>
    <mergeCell ref="E57:E58"/>
    <mergeCell ref="F57:F58"/>
    <mergeCell ref="G57:G58"/>
    <mergeCell ref="H57:H58"/>
    <mergeCell ref="I57:I58"/>
    <mergeCell ref="J57:J58"/>
    <mergeCell ref="AI57:AI58"/>
    <mergeCell ref="AJ57:AJ58"/>
    <mergeCell ref="AK57:AK58"/>
    <mergeCell ref="AL57:AL58"/>
    <mergeCell ref="A59:B59"/>
    <mergeCell ref="A60:B60"/>
    <mergeCell ref="AC57:AC58"/>
    <mergeCell ref="AD57:AD58"/>
    <mergeCell ref="AE57:AE58"/>
    <mergeCell ref="AF57:AF58"/>
    <mergeCell ref="AG57:AG58"/>
    <mergeCell ref="AH57:AH58"/>
    <mergeCell ref="W57:W58"/>
    <mergeCell ref="X57:X58"/>
    <mergeCell ref="Y57:Y58"/>
    <mergeCell ref="Z57:Z58"/>
    <mergeCell ref="AA57:AA58"/>
    <mergeCell ref="AB57:AB58"/>
    <mergeCell ref="Q57:Q58"/>
    <mergeCell ref="R57:R58"/>
    <mergeCell ref="S57:S58"/>
    <mergeCell ref="T57:T58"/>
    <mergeCell ref="U57:U58"/>
    <mergeCell ref="V57:V58"/>
    <mergeCell ref="E64:E65"/>
    <mergeCell ref="F64:F65"/>
    <mergeCell ref="G64:G65"/>
    <mergeCell ref="H64:H65"/>
    <mergeCell ref="I64:I65"/>
    <mergeCell ref="J64:J65"/>
    <mergeCell ref="A61:B61"/>
    <mergeCell ref="A62:B62"/>
    <mergeCell ref="A63:B63"/>
    <mergeCell ref="A64:B65"/>
    <mergeCell ref="C64:C65"/>
    <mergeCell ref="D64:D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A68:B68"/>
    <mergeCell ref="A69:B69"/>
    <mergeCell ref="A70:B70"/>
    <mergeCell ref="AK71:AK72"/>
    <mergeCell ref="AL71:AL72"/>
    <mergeCell ref="A72:B72"/>
    <mergeCell ref="AI64:AI65"/>
    <mergeCell ref="AJ64:AJ65"/>
    <mergeCell ref="AK64:AK65"/>
    <mergeCell ref="AL64:AL65"/>
    <mergeCell ref="A66:B66"/>
    <mergeCell ref="A67:B67"/>
    <mergeCell ref="AC64:AC65"/>
    <mergeCell ref="AD64:AD65"/>
    <mergeCell ref="AE64:AE65"/>
    <mergeCell ref="AF64:AF65"/>
    <mergeCell ref="AG64:AG65"/>
    <mergeCell ref="AH64:AH65"/>
    <mergeCell ref="W64:W65"/>
    <mergeCell ref="X64:X65"/>
    <mergeCell ref="Y64:Y65"/>
    <mergeCell ref="Z64:Z65"/>
    <mergeCell ref="AA64:AA65"/>
    <mergeCell ref="AB64:AB65"/>
    <mergeCell ref="A86:B86"/>
    <mergeCell ref="A80:B80"/>
    <mergeCell ref="A81:B81"/>
    <mergeCell ref="A82:B82"/>
    <mergeCell ref="A83:B83"/>
    <mergeCell ref="A84:B84"/>
    <mergeCell ref="A85:B85"/>
    <mergeCell ref="A73:B73"/>
    <mergeCell ref="A75:B75"/>
    <mergeCell ref="A76:B76"/>
    <mergeCell ref="A77:B77"/>
    <mergeCell ref="A78:B78"/>
    <mergeCell ref="A79:B7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Лист3</vt:lpstr>
      <vt:lpstr>Лист4</vt:lpstr>
      <vt:lpstr>Лист5</vt:lpstr>
      <vt:lpstr>Лист6</vt:lpstr>
      <vt:lpstr>Лист7</vt:lpstr>
      <vt:lpstr>Лист8</vt:lpstr>
      <vt:lpstr>декабрь</vt:lpstr>
      <vt:lpstr>декабрь!Заголовки_для_печати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Васина</dc:creator>
  <cp:lastModifiedBy>Шилова</cp:lastModifiedBy>
  <cp:lastPrinted>2018-01-31T05:32:31Z</cp:lastPrinted>
  <dcterms:created xsi:type="dcterms:W3CDTF">2012-01-13T10:18:29Z</dcterms:created>
  <dcterms:modified xsi:type="dcterms:W3CDTF">2018-02-14T06:40:54Z</dcterms:modified>
</cp:coreProperties>
</file>