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" yWindow="48" windowWidth="19056" windowHeight="11820" firstSheet="6" activeTab="6"/>
  </bookViews>
  <sheets>
    <sheet name="Лист3" sheetId="3" state="hidden" r:id="rId1"/>
    <sheet name="Лист4" sheetId="4" state="hidden" r:id="rId2"/>
    <sheet name="Лист5" sheetId="5" state="hidden" r:id="rId3"/>
    <sheet name="Лист6" sheetId="6" state="hidden" r:id="rId4"/>
    <sheet name="Лист7" sheetId="7" state="hidden" r:id="rId5"/>
    <sheet name="Лист8" sheetId="8" state="hidden" r:id="rId6"/>
    <sheet name="на 01.10.2015" sheetId="24" r:id="rId7"/>
  </sheets>
  <calcPr calcId="125725"/>
</workbook>
</file>

<file path=xl/calcChain.xml><?xml version="1.0" encoding="utf-8"?>
<calcChain xmlns="http://schemas.openxmlformats.org/spreadsheetml/2006/main">
  <c r="AE86" i="24"/>
  <c r="AD86"/>
  <c r="AF81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I80"/>
  <c r="F80"/>
  <c r="E80"/>
  <c r="D80"/>
  <c r="AE79"/>
  <c r="AD79"/>
  <c r="AC79"/>
  <c r="AA79"/>
  <c r="Z79"/>
  <c r="W79"/>
  <c r="S79"/>
  <c r="O79"/>
  <c r="K79"/>
  <c r="G79"/>
  <c r="F79"/>
  <c r="E79"/>
  <c r="D79"/>
  <c r="AE78"/>
  <c r="AD78"/>
  <c r="AC78"/>
  <c r="AB78"/>
  <c r="AA78"/>
  <c r="Z78"/>
  <c r="Y78"/>
  <c r="W78"/>
  <c r="U78"/>
  <c r="S78"/>
  <c r="Q78"/>
  <c r="O78"/>
  <c r="N78"/>
  <c r="M78"/>
  <c r="K78"/>
  <c r="I78"/>
  <c r="H78"/>
  <c r="G78"/>
  <c r="F78"/>
  <c r="E78"/>
  <c r="D78"/>
  <c r="AE77"/>
  <c r="AD77"/>
  <c r="AC77"/>
  <c r="AB77"/>
  <c r="AA77"/>
  <c r="Z77"/>
  <c r="Y77"/>
  <c r="W77"/>
  <c r="U77"/>
  <c r="S77"/>
  <c r="Q77"/>
  <c r="O77"/>
  <c r="N77"/>
  <c r="M77"/>
  <c r="K77"/>
  <c r="I77"/>
  <c r="H77"/>
  <c r="G77"/>
  <c r="F77"/>
  <c r="E77"/>
  <c r="D77"/>
  <c r="AE76"/>
  <c r="AD76"/>
  <c r="AC76"/>
  <c r="Z76"/>
  <c r="O76"/>
  <c r="K76"/>
  <c r="F76"/>
  <c r="E76"/>
  <c r="D76"/>
  <c r="E73"/>
  <c r="D73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J63"/>
  <c r="J80" s="1"/>
  <c r="H63"/>
  <c r="H80" s="1"/>
  <c r="AC59"/>
  <c r="AB59"/>
  <c r="Y59"/>
  <c r="Y57" s="1"/>
  <c r="X59"/>
  <c r="W59"/>
  <c r="V59"/>
  <c r="V57" s="1"/>
  <c r="U59"/>
  <c r="U76" s="1"/>
  <c r="T59"/>
  <c r="Q59"/>
  <c r="P59"/>
  <c r="M59"/>
  <c r="M76" s="1"/>
  <c r="L59"/>
  <c r="K59"/>
  <c r="J59"/>
  <c r="J57" s="1"/>
  <c r="I59"/>
  <c r="I76" s="1"/>
  <c r="H59"/>
  <c r="G59"/>
  <c r="AE57"/>
  <c r="AD57"/>
  <c r="AC57"/>
  <c r="AB57"/>
  <c r="AA57"/>
  <c r="Z57"/>
  <c r="X57"/>
  <c r="W57"/>
  <c r="T57"/>
  <c r="S57"/>
  <c r="R57"/>
  <c r="Q57"/>
  <c r="P57"/>
  <c r="O57"/>
  <c r="N57"/>
  <c r="L57"/>
  <c r="K57"/>
  <c r="H57"/>
  <c r="G57"/>
  <c r="F57"/>
  <c r="E57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AB48"/>
  <c r="X48"/>
  <c r="X43" s="1"/>
  <c r="R48"/>
  <c r="Q48"/>
  <c r="P48"/>
  <c r="P43" s="1"/>
  <c r="M48"/>
  <c r="L48"/>
  <c r="K48"/>
  <c r="J48"/>
  <c r="I48"/>
  <c r="H48"/>
  <c r="AB47"/>
  <c r="AB45"/>
  <c r="AB43" s="1"/>
  <c r="AA45"/>
  <c r="AA76" s="1"/>
  <c r="X45"/>
  <c r="V45"/>
  <c r="T45"/>
  <c r="T43" s="1"/>
  <c r="Q45"/>
  <c r="Q76" s="1"/>
  <c r="P45"/>
  <c r="O45"/>
  <c r="N45"/>
  <c r="L45"/>
  <c r="L43" s="1"/>
  <c r="J45"/>
  <c r="I45"/>
  <c r="H45"/>
  <c r="H43" s="1"/>
  <c r="AE43"/>
  <c r="AD43"/>
  <c r="AC43"/>
  <c r="Z43"/>
  <c r="Y43"/>
  <c r="W43"/>
  <c r="V43"/>
  <c r="U43"/>
  <c r="S43"/>
  <c r="R43"/>
  <c r="Q43"/>
  <c r="O43"/>
  <c r="N43"/>
  <c r="M43"/>
  <c r="K43"/>
  <c r="J43"/>
  <c r="I43"/>
  <c r="G43"/>
  <c r="F43"/>
  <c r="X41"/>
  <c r="P41"/>
  <c r="AB40"/>
  <c r="X40"/>
  <c r="X78" s="1"/>
  <c r="V40"/>
  <c r="V78" s="1"/>
  <c r="T40"/>
  <c r="T78" s="1"/>
  <c r="R40"/>
  <c r="R78" s="1"/>
  <c r="P40"/>
  <c r="P78" s="1"/>
  <c r="L40"/>
  <c r="L78" s="1"/>
  <c r="J40"/>
  <c r="J78" s="1"/>
  <c r="H40"/>
  <c r="X39"/>
  <c r="X77" s="1"/>
  <c r="V39"/>
  <c r="V77" s="1"/>
  <c r="T39"/>
  <c r="T77" s="1"/>
  <c r="R39"/>
  <c r="R77" s="1"/>
  <c r="P39"/>
  <c r="P77" s="1"/>
  <c r="L39"/>
  <c r="L77" s="1"/>
  <c r="J39"/>
  <c r="J77" s="1"/>
  <c r="H39"/>
  <c r="AB38"/>
  <c r="AB36" s="1"/>
  <c r="X38"/>
  <c r="X36" s="1"/>
  <c r="W38"/>
  <c r="W76" s="1"/>
  <c r="V38"/>
  <c r="T38"/>
  <c r="T36" s="1"/>
  <c r="R38"/>
  <c r="P38"/>
  <c r="P36" s="1"/>
  <c r="N38"/>
  <c r="L38"/>
  <c r="L36" s="1"/>
  <c r="J38"/>
  <c r="H38"/>
  <c r="H36" s="1"/>
  <c r="AE36"/>
  <c r="AD36"/>
  <c r="AF36" s="1"/>
  <c r="AC36"/>
  <c r="AA36"/>
  <c r="Z36"/>
  <c r="Y36"/>
  <c r="W36"/>
  <c r="V36"/>
  <c r="U36"/>
  <c r="S36"/>
  <c r="R36"/>
  <c r="Q36"/>
  <c r="O36"/>
  <c r="N36"/>
  <c r="M36"/>
  <c r="K36"/>
  <c r="J36"/>
  <c r="I36"/>
  <c r="G36"/>
  <c r="F36"/>
  <c r="E36"/>
  <c r="AE29"/>
  <c r="AD29"/>
  <c r="AF29" s="1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AB28"/>
  <c r="AB27"/>
  <c r="AB79" s="1"/>
  <c r="Y27"/>
  <c r="Y79" s="1"/>
  <c r="X27"/>
  <c r="X79" s="1"/>
  <c r="W27"/>
  <c r="V27"/>
  <c r="V79" s="1"/>
  <c r="U27"/>
  <c r="U79" s="1"/>
  <c r="T27"/>
  <c r="T79" s="1"/>
  <c r="S27"/>
  <c r="R27"/>
  <c r="R79" s="1"/>
  <c r="Q27"/>
  <c r="Q79" s="1"/>
  <c r="P27"/>
  <c r="P79" s="1"/>
  <c r="O27"/>
  <c r="N27"/>
  <c r="N79" s="1"/>
  <c r="M27"/>
  <c r="M79" s="1"/>
  <c r="L27"/>
  <c r="L79" s="1"/>
  <c r="K27"/>
  <c r="J27"/>
  <c r="J79" s="1"/>
  <c r="I27"/>
  <c r="I79" s="1"/>
  <c r="H27"/>
  <c r="H79" s="1"/>
  <c r="AC24"/>
  <c r="AB24"/>
  <c r="AB22" s="1"/>
  <c r="Y24"/>
  <c r="Y76" s="1"/>
  <c r="X24"/>
  <c r="X76" s="1"/>
  <c r="W24"/>
  <c r="V24"/>
  <c r="V76" s="1"/>
  <c r="T24"/>
  <c r="T22" s="1"/>
  <c r="S24"/>
  <c r="S76" s="1"/>
  <c r="R24"/>
  <c r="R76" s="1"/>
  <c r="G24"/>
  <c r="G76" s="1"/>
  <c r="AE22"/>
  <c r="AD22"/>
  <c r="AF22" s="1"/>
  <c r="AC22"/>
  <c r="AA22"/>
  <c r="Z22"/>
  <c r="Y22"/>
  <c r="X22"/>
  <c r="W22"/>
  <c r="V22"/>
  <c r="U22"/>
  <c r="R22"/>
  <c r="Q22"/>
  <c r="P22"/>
  <c r="O22"/>
  <c r="N22"/>
  <c r="M22"/>
  <c r="L22"/>
  <c r="K22"/>
  <c r="J22"/>
  <c r="I22"/>
  <c r="H22"/>
  <c r="F22"/>
  <c r="T17"/>
  <c r="T15" s="1"/>
  <c r="AE15"/>
  <c r="AD15"/>
  <c r="AF15" s="1"/>
  <c r="AC15"/>
  <c r="AB15"/>
  <c r="AA15"/>
  <c r="Z15"/>
  <c r="Z75" s="1"/>
  <c r="Z82" s="1"/>
  <c r="Y15"/>
  <c r="X15"/>
  <c r="W15"/>
  <c r="V15"/>
  <c r="V75" s="1"/>
  <c r="V82" s="1"/>
  <c r="U15"/>
  <c r="S15"/>
  <c r="R15"/>
  <c r="R75" s="1"/>
  <c r="R82" s="1"/>
  <c r="Q15"/>
  <c r="P15"/>
  <c r="O15"/>
  <c r="N15"/>
  <c r="M15"/>
  <c r="L15"/>
  <c r="K15"/>
  <c r="J15"/>
  <c r="J75" s="1"/>
  <c r="J82" s="1"/>
  <c r="I15"/>
  <c r="H15"/>
  <c r="G15"/>
  <c r="F15"/>
  <c r="F75" s="1"/>
  <c r="F82" s="1"/>
  <c r="E15"/>
  <c r="E75" s="1"/>
  <c r="E82" s="1"/>
  <c r="E85" s="1"/>
  <c r="D15"/>
  <c r="D75" s="1"/>
  <c r="D82" s="1"/>
  <c r="D85" s="1"/>
  <c r="G14"/>
  <c r="G80" s="1"/>
  <c r="P10"/>
  <c r="P76" s="1"/>
  <c r="N10"/>
  <c r="N76" s="1"/>
  <c r="L10"/>
  <c r="L76" s="1"/>
  <c r="J10"/>
  <c r="J76" s="1"/>
  <c r="H10"/>
  <c r="H76" s="1"/>
  <c r="AG8"/>
  <c r="AD8"/>
  <c r="AC8"/>
  <c r="AC75" s="1"/>
  <c r="AC82" s="1"/>
  <c r="AB8"/>
  <c r="AA8"/>
  <c r="Z8"/>
  <c r="Y8"/>
  <c r="Y75" s="1"/>
  <c r="Y82" s="1"/>
  <c r="X8"/>
  <c r="W8"/>
  <c r="W75" s="1"/>
  <c r="W82" s="1"/>
  <c r="V8"/>
  <c r="U8"/>
  <c r="T8"/>
  <c r="S8"/>
  <c r="R8"/>
  <c r="Q8"/>
  <c r="Q75" s="1"/>
  <c r="Q82" s="1"/>
  <c r="P8"/>
  <c r="O8"/>
  <c r="O75" s="1"/>
  <c r="O82" s="1"/>
  <c r="M8"/>
  <c r="L8"/>
  <c r="K8"/>
  <c r="K75" s="1"/>
  <c r="K82" s="1"/>
  <c r="J8"/>
  <c r="I8"/>
  <c r="H8"/>
  <c r="G8"/>
  <c r="F8"/>
  <c r="AF8" l="1"/>
  <c r="AG43"/>
  <c r="AG57"/>
  <c r="AF57"/>
  <c r="AG22"/>
  <c r="AE75"/>
  <c r="AG75" s="1"/>
  <c r="AF50"/>
  <c r="T75"/>
  <c r="T82" s="1"/>
  <c r="AG50"/>
  <c r="H75"/>
  <c r="H82" s="1"/>
  <c r="L75"/>
  <c r="L82" s="1"/>
  <c r="AF43"/>
  <c r="P75"/>
  <c r="P82" s="1"/>
  <c r="X75"/>
  <c r="X82" s="1"/>
  <c r="I75"/>
  <c r="I82" s="1"/>
  <c r="N8"/>
  <c r="N75" s="1"/>
  <c r="N82" s="1"/>
  <c r="G22"/>
  <c r="G75" s="1"/>
  <c r="G82" s="1"/>
  <c r="S22"/>
  <c r="S75" s="1"/>
  <c r="S82" s="1"/>
  <c r="AA43"/>
  <c r="AA75" s="1"/>
  <c r="AA82" s="1"/>
  <c r="AB75"/>
  <c r="AB82" s="1"/>
  <c r="I57"/>
  <c r="M57"/>
  <c r="M75" s="1"/>
  <c r="M82" s="1"/>
  <c r="U57"/>
  <c r="U75" s="1"/>
  <c r="U82" s="1"/>
  <c r="AD75"/>
  <c r="T76"/>
  <c r="AB76"/>
  <c r="AE82" l="1"/>
  <c r="AG82" s="1"/>
  <c r="AD82"/>
  <c r="AF82" s="1"/>
  <c r="AF75"/>
</calcChain>
</file>

<file path=xl/comments1.xml><?xml version="1.0" encoding="utf-8"?>
<comments xmlns="http://schemas.openxmlformats.org/spreadsheetml/2006/main">
  <authors>
    <author>Васина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Васина: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<sst xmlns="http://schemas.openxmlformats.org/spreadsheetml/2006/main" count="116" uniqueCount="45">
  <si>
    <t>Учреждения</t>
  </si>
  <si>
    <t>Администрация</t>
  </si>
  <si>
    <t>Департамент имущества</t>
  </si>
  <si>
    <t>Департамент образования</t>
  </si>
  <si>
    <t>Департамент финансов</t>
  </si>
  <si>
    <t>Департамент АПК</t>
  </si>
  <si>
    <t>текущая</t>
  </si>
  <si>
    <t xml:space="preserve">текущая </t>
  </si>
  <si>
    <t>% роста к предыдущ. мес.</t>
  </si>
  <si>
    <t>по оплате труда</t>
  </si>
  <si>
    <t>по государственным внебюджетным фондам</t>
  </si>
  <si>
    <t>по налогам и сборам</t>
  </si>
  <si>
    <t>в том числе по поставщикам и подрядчикам</t>
  </si>
  <si>
    <t>ИТОГО</t>
  </si>
  <si>
    <t>просро-  ченная</t>
  </si>
  <si>
    <t>просро- ченная</t>
  </si>
  <si>
    <t>МУ"Контрольно-счетная палата"</t>
  </si>
  <si>
    <t xml:space="preserve">по прочим кредитор. </t>
  </si>
  <si>
    <t>Департамент культуры      (в т.ч. Галактика , Берега)</t>
  </si>
  <si>
    <t xml:space="preserve">Департамент ЖКХ             (в т.ч. ОСКР)     </t>
  </si>
  <si>
    <t>Департамент труда           (в т.ч. Милосердие)</t>
  </si>
  <si>
    <t>Муниципальный долг</t>
  </si>
  <si>
    <t>ВСЕГО</t>
  </si>
  <si>
    <t>Справочно:</t>
  </si>
  <si>
    <t xml:space="preserve">Свод по кредиторской задолженности </t>
  </si>
  <si>
    <t>ЦРБ, КРБ</t>
  </si>
  <si>
    <t>Сельские территории</t>
  </si>
  <si>
    <t>Задолженность по предпринимательской деятельности на 01.01.2012</t>
  </si>
  <si>
    <t>Задолженность по бюджету на 01.01.2012</t>
  </si>
  <si>
    <t>01.01.2012</t>
  </si>
  <si>
    <t>01.01.2013</t>
  </si>
  <si>
    <t>01.02.2013</t>
  </si>
  <si>
    <t>01.03.2013</t>
  </si>
  <si>
    <t>01.04.2013</t>
  </si>
  <si>
    <t>01.05.2013</t>
  </si>
  <si>
    <t>01.06.2013</t>
  </si>
  <si>
    <t>01.07.2013</t>
  </si>
  <si>
    <t>01.08.2013</t>
  </si>
  <si>
    <t>01.09.2013</t>
  </si>
  <si>
    <t>01.10.2013</t>
  </si>
  <si>
    <t>01.01.2014</t>
  </si>
  <si>
    <t xml:space="preserve">В том числе по муниципальному заданию </t>
  </si>
  <si>
    <t>01.01.2015</t>
  </si>
  <si>
    <t>просроченная</t>
  </si>
  <si>
    <t>01.10.2015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</si>
</sst>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4" fontId="0" fillId="0" borderId="9" xfId="0" applyNumberFormat="1" applyBorder="1" applyAlignment="1">
      <alignment horizontal="right"/>
    </xf>
    <xf numFmtId="4" fontId="0" fillId="0" borderId="9" xfId="0" applyNumberFormat="1" applyBorder="1" applyAlignment="1">
      <alignment horizontal="right" wrapText="1"/>
    </xf>
    <xf numFmtId="10" fontId="1" fillId="0" borderId="9" xfId="0" applyNumberFormat="1" applyFont="1" applyBorder="1" applyAlignment="1">
      <alignment horizontal="center"/>
    </xf>
    <xf numFmtId="0" fontId="1" fillId="0" borderId="0" xfId="0" applyFont="1"/>
    <xf numFmtId="4" fontId="0" fillId="0" borderId="0" xfId="0" applyNumberFormat="1"/>
    <xf numFmtId="4" fontId="1" fillId="0" borderId="9" xfId="0" applyNumberFormat="1" applyFont="1" applyBorder="1"/>
    <xf numFmtId="0" fontId="0" fillId="0" borderId="0" xfId="0" applyAlignment="1">
      <alignment wrapText="1"/>
    </xf>
    <xf numFmtId="4" fontId="0" fillId="0" borderId="9" xfId="0" applyNumberFormat="1" applyBorder="1"/>
    <xf numFmtId="43" fontId="1" fillId="0" borderId="0" xfId="1" applyFont="1" applyAlignment="1">
      <alignment horizontal="left" indent="2"/>
    </xf>
    <xf numFmtId="4" fontId="1" fillId="0" borderId="9" xfId="0" applyNumberFormat="1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4" fontId="0" fillId="0" borderId="10" xfId="0" applyNumberFormat="1" applyBorder="1" applyAlignment="1">
      <alignment horizontal="right" wrapText="1"/>
    </xf>
    <xf numFmtId="0" fontId="1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4" fontId="1" fillId="0" borderId="9" xfId="0" applyNumberFormat="1" applyFont="1" applyBorder="1" applyAlignment="1">
      <alignment horizontal="right" wrapText="1"/>
    </xf>
    <xf numFmtId="4" fontId="1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center" wrapText="1"/>
    </xf>
    <xf numFmtId="4" fontId="6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 wrapText="1"/>
    </xf>
    <xf numFmtId="4" fontId="7" fillId="0" borderId="11" xfId="0" applyNumberFormat="1" applyFont="1" applyBorder="1" applyAlignment="1">
      <alignment horizontal="right" wrapText="1"/>
    </xf>
    <xf numFmtId="4" fontId="7" fillId="0" borderId="9" xfId="0" applyNumberFormat="1" applyFont="1" applyBorder="1" applyAlignment="1">
      <alignment horizontal="left" wrapText="1"/>
    </xf>
    <xf numFmtId="4" fontId="0" fillId="0" borderId="9" xfId="0" applyNumberFormat="1" applyFont="1" applyBorder="1" applyAlignment="1">
      <alignment horizontal="right" wrapText="1"/>
    </xf>
    <xf numFmtId="4" fontId="6" fillId="0" borderId="9" xfId="0" applyNumberFormat="1" applyFont="1" applyBorder="1"/>
    <xf numFmtId="4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/>
    <xf numFmtId="0" fontId="0" fillId="0" borderId="9" xfId="0" applyFont="1" applyBorder="1" applyAlignment="1">
      <alignment horizontal="center" wrapText="1"/>
    </xf>
    <xf numFmtId="4" fontId="7" fillId="0" borderId="9" xfId="0" applyNumberFormat="1" applyFont="1" applyBorder="1"/>
    <xf numFmtId="0" fontId="6" fillId="0" borderId="10" xfId="0" applyFont="1" applyBorder="1"/>
    <xf numFmtId="4" fontId="1" fillId="0" borderId="11" xfId="0" applyNumberFormat="1" applyFont="1" applyBorder="1" applyAlignment="1">
      <alignment horizontal="right" wrapText="1"/>
    </xf>
    <xf numFmtId="0" fontId="0" fillId="0" borderId="10" xfId="0" applyBorder="1"/>
    <xf numFmtId="4" fontId="1" fillId="0" borderId="11" xfId="0" applyNumberFormat="1" applyFont="1" applyBorder="1" applyAlignment="1">
      <alignment horizontal="right"/>
    </xf>
    <xf numFmtId="49" fontId="0" fillId="0" borderId="7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3" xfId="0" applyBorder="1"/>
    <xf numFmtId="0" fontId="1" fillId="0" borderId="6" xfId="0" applyFont="1" applyBorder="1" applyAlignment="1">
      <alignment wrapText="1"/>
    </xf>
    <xf numFmtId="0" fontId="0" fillId="0" borderId="10" xfId="0" applyFont="1" applyBorder="1"/>
    <xf numFmtId="0" fontId="1" fillId="0" borderId="7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0" fillId="0" borderId="7" xfId="0" applyNumberFormat="1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2" sqref="B32"/>
    </sheetView>
  </sheetViews>
  <sheetFormatPr defaultRowHeight="14.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8"/>
  <sheetViews>
    <sheetView tabSelected="1" topLeftCell="B1" workbookViewId="0">
      <selection activeCell="D20" sqref="D20"/>
    </sheetView>
  </sheetViews>
  <sheetFormatPr defaultRowHeight="14.4"/>
  <cols>
    <col min="1" max="1" width="9.109375" hidden="1" customWidth="1"/>
    <col min="3" max="3" width="10" customWidth="1"/>
    <col min="4" max="4" width="13.6640625" customWidth="1"/>
    <col min="5" max="5" width="14.109375" customWidth="1"/>
    <col min="6" max="6" width="15.33203125" customWidth="1"/>
    <col min="7" max="7" width="15" customWidth="1"/>
    <col min="8" max="10" width="15" hidden="1" customWidth="1"/>
    <col min="11" max="11" width="14.88671875" hidden="1" customWidth="1"/>
    <col min="12" max="25" width="15" hidden="1" customWidth="1"/>
    <col min="26" max="31" width="15" customWidth="1"/>
    <col min="32" max="32" width="10.33203125" customWidth="1"/>
    <col min="33" max="33" width="9.109375" customWidth="1"/>
  </cols>
  <sheetData>
    <row r="1" spans="2:33">
      <c r="C1" s="42" t="s">
        <v>24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2:33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2:33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2:33"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2:33">
      <c r="B5" s="44" t="s">
        <v>0</v>
      </c>
      <c r="C5" s="45"/>
      <c r="D5" s="34" t="s">
        <v>29</v>
      </c>
      <c r="E5" s="35"/>
      <c r="F5" s="34" t="s">
        <v>30</v>
      </c>
      <c r="G5" s="35"/>
      <c r="H5" s="34" t="s">
        <v>31</v>
      </c>
      <c r="I5" s="35"/>
      <c r="J5" s="34" t="s">
        <v>32</v>
      </c>
      <c r="K5" s="35"/>
      <c r="L5" s="34" t="s">
        <v>33</v>
      </c>
      <c r="M5" s="35"/>
      <c r="N5" s="34" t="s">
        <v>34</v>
      </c>
      <c r="O5" s="35"/>
      <c r="P5" s="34" t="s">
        <v>35</v>
      </c>
      <c r="Q5" s="35"/>
      <c r="R5" s="34" t="s">
        <v>36</v>
      </c>
      <c r="S5" s="35"/>
      <c r="T5" s="34" t="s">
        <v>37</v>
      </c>
      <c r="U5" s="35"/>
      <c r="V5" s="34" t="s">
        <v>38</v>
      </c>
      <c r="W5" s="35"/>
      <c r="X5" s="34" t="s">
        <v>39</v>
      </c>
      <c r="Y5" s="35"/>
      <c r="Z5" s="34" t="s">
        <v>40</v>
      </c>
      <c r="AA5" s="35"/>
      <c r="AB5" s="34" t="s">
        <v>42</v>
      </c>
      <c r="AC5" s="35"/>
      <c r="AD5" s="67" t="s">
        <v>44</v>
      </c>
      <c r="AE5" s="64"/>
      <c r="AF5" s="38" t="s">
        <v>8</v>
      </c>
      <c r="AG5" s="39"/>
    </row>
    <row r="6" spans="2:33">
      <c r="B6" s="46"/>
      <c r="C6" s="47"/>
      <c r="D6" s="36"/>
      <c r="E6" s="37"/>
      <c r="F6" s="36"/>
      <c r="G6" s="37"/>
      <c r="H6" s="36"/>
      <c r="I6" s="37"/>
      <c r="J6" s="36"/>
      <c r="K6" s="37"/>
      <c r="L6" s="36"/>
      <c r="M6" s="37"/>
      <c r="N6" s="36"/>
      <c r="O6" s="37"/>
      <c r="P6" s="36"/>
      <c r="Q6" s="37"/>
      <c r="R6" s="36"/>
      <c r="S6" s="37"/>
      <c r="T6" s="36"/>
      <c r="U6" s="37"/>
      <c r="V6" s="36"/>
      <c r="W6" s="37"/>
      <c r="X6" s="36"/>
      <c r="Y6" s="37"/>
      <c r="Z6" s="36"/>
      <c r="AA6" s="37"/>
      <c r="AB6" s="36"/>
      <c r="AC6" s="37"/>
      <c r="AD6" s="65"/>
      <c r="AE6" s="66"/>
      <c r="AF6" s="40"/>
      <c r="AG6" s="41"/>
    </row>
    <row r="7" spans="2:33" ht="28.8">
      <c r="B7" s="48"/>
      <c r="C7" s="49"/>
      <c r="D7" s="19" t="s">
        <v>6</v>
      </c>
      <c r="E7" s="19" t="s">
        <v>14</v>
      </c>
      <c r="F7" s="19" t="s">
        <v>6</v>
      </c>
      <c r="G7" s="19" t="s">
        <v>14</v>
      </c>
      <c r="H7" s="19" t="s">
        <v>6</v>
      </c>
      <c r="I7" s="19" t="s">
        <v>14</v>
      </c>
      <c r="J7" s="19" t="s">
        <v>6</v>
      </c>
      <c r="K7" s="19" t="s">
        <v>14</v>
      </c>
      <c r="L7" s="19" t="s">
        <v>6</v>
      </c>
      <c r="M7" s="19" t="s">
        <v>14</v>
      </c>
      <c r="N7" s="19" t="s">
        <v>6</v>
      </c>
      <c r="O7" s="19" t="s">
        <v>14</v>
      </c>
      <c r="P7" s="19" t="s">
        <v>6</v>
      </c>
      <c r="Q7" s="19" t="s">
        <v>14</v>
      </c>
      <c r="R7" s="19" t="s">
        <v>6</v>
      </c>
      <c r="S7" s="19" t="s">
        <v>14</v>
      </c>
      <c r="T7" s="19" t="s">
        <v>6</v>
      </c>
      <c r="U7" s="19" t="s">
        <v>14</v>
      </c>
      <c r="V7" s="19" t="s">
        <v>6</v>
      </c>
      <c r="W7" s="19" t="s">
        <v>14</v>
      </c>
      <c r="X7" s="19" t="s">
        <v>6</v>
      </c>
      <c r="Y7" s="19" t="s">
        <v>14</v>
      </c>
      <c r="Z7" s="19" t="s">
        <v>6</v>
      </c>
      <c r="AA7" s="19" t="s">
        <v>14</v>
      </c>
      <c r="AB7" s="19" t="s">
        <v>6</v>
      </c>
      <c r="AC7" s="19" t="s">
        <v>14</v>
      </c>
      <c r="AD7" s="28" t="s">
        <v>6</v>
      </c>
      <c r="AE7" s="28" t="s">
        <v>43</v>
      </c>
      <c r="AF7" s="19" t="s">
        <v>7</v>
      </c>
      <c r="AG7" s="19" t="s">
        <v>15</v>
      </c>
    </row>
    <row r="8" spans="2:33">
      <c r="B8" s="60" t="s">
        <v>1</v>
      </c>
      <c r="C8" s="61"/>
      <c r="D8" s="33">
        <v>4339281.38</v>
      </c>
      <c r="E8" s="33">
        <v>301680.46000000002</v>
      </c>
      <c r="F8" s="33">
        <f t="shared" ref="F8:AD8" si="0">SUM(F10:F14)</f>
        <v>1585306.45</v>
      </c>
      <c r="G8" s="33">
        <f t="shared" si="0"/>
        <v>1801203.7999999998</v>
      </c>
      <c r="H8" s="33">
        <f t="shared" si="0"/>
        <v>1880710.93</v>
      </c>
      <c r="I8" s="33">
        <f t="shared" si="0"/>
        <v>1726285.8</v>
      </c>
      <c r="J8" s="33">
        <f t="shared" si="0"/>
        <v>2043940.37</v>
      </c>
      <c r="K8" s="33">
        <f t="shared" si="0"/>
        <v>1726285.8</v>
      </c>
      <c r="L8" s="33">
        <f t="shared" si="0"/>
        <v>1800545.93</v>
      </c>
      <c r="M8" s="33">
        <f t="shared" si="0"/>
        <v>1726285.8</v>
      </c>
      <c r="N8" s="33">
        <f t="shared" si="0"/>
        <v>1791783.17</v>
      </c>
      <c r="O8" s="33">
        <f t="shared" si="0"/>
        <v>1726285.8</v>
      </c>
      <c r="P8" s="33">
        <f t="shared" si="0"/>
        <v>1777486.53</v>
      </c>
      <c r="Q8" s="33">
        <f t="shared" si="0"/>
        <v>1726285.8</v>
      </c>
      <c r="R8" s="33">
        <f t="shared" si="0"/>
        <v>1764579</v>
      </c>
      <c r="S8" s="33">
        <f t="shared" si="0"/>
        <v>1726285.8</v>
      </c>
      <c r="T8" s="33">
        <f t="shared" si="0"/>
        <v>1758347.09</v>
      </c>
      <c r="U8" s="33">
        <f t="shared" si="0"/>
        <v>1726285.8</v>
      </c>
      <c r="V8" s="33">
        <f t="shared" si="0"/>
        <v>1761309.72</v>
      </c>
      <c r="W8" s="33">
        <f t="shared" si="0"/>
        <v>1726285.8</v>
      </c>
      <c r="X8" s="33">
        <f t="shared" si="0"/>
        <v>1748835.28</v>
      </c>
      <c r="Y8" s="33">
        <f t="shared" si="0"/>
        <v>1726285.8</v>
      </c>
      <c r="Z8" s="33">
        <f t="shared" si="0"/>
        <v>1009374.5399999999</v>
      </c>
      <c r="AA8" s="33">
        <f t="shared" si="0"/>
        <v>1126468.53</v>
      </c>
      <c r="AB8" s="33">
        <f t="shared" si="0"/>
        <v>1167033.9200000002</v>
      </c>
      <c r="AC8" s="33">
        <f t="shared" si="0"/>
        <v>1126468.53</v>
      </c>
      <c r="AD8" s="33">
        <f t="shared" si="0"/>
        <v>2609590.2699999996</v>
      </c>
      <c r="AE8" s="33"/>
      <c r="AF8" s="50">
        <f>AD8/AB8-1</f>
        <v>1.2360877651268263</v>
      </c>
      <c r="AG8" s="50">
        <f>AE8/AC8-1</f>
        <v>-1</v>
      </c>
    </row>
    <row r="9" spans="2:33">
      <c r="B9" s="62"/>
      <c r="C9" s="63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59"/>
      <c r="AE9" s="59"/>
      <c r="AF9" s="32"/>
      <c r="AG9" s="32"/>
    </row>
    <row r="10" spans="2:33" ht="30" customHeight="1">
      <c r="B10" s="51" t="s">
        <v>12</v>
      </c>
      <c r="C10" s="52"/>
      <c r="D10" s="1"/>
      <c r="E10" s="1"/>
      <c r="F10" s="1"/>
      <c r="G10" s="1"/>
      <c r="H10" s="1">
        <f>1880710.93-1726285.8</f>
        <v>154425.12999999989</v>
      </c>
      <c r="I10" s="1"/>
      <c r="J10" s="1">
        <f>2043940.37-1726285.8</f>
        <v>317654.57000000007</v>
      </c>
      <c r="K10" s="1"/>
      <c r="L10" s="1">
        <f>1800545.93-1726285.8</f>
        <v>74260.129999999888</v>
      </c>
      <c r="M10" s="1"/>
      <c r="N10" s="1">
        <f>1791783.17-1726285.8</f>
        <v>65497.369999999879</v>
      </c>
      <c r="O10" s="1"/>
      <c r="P10" s="1">
        <f>1777486.53-1726285.8</f>
        <v>51200.729999999981</v>
      </c>
      <c r="Q10" s="1"/>
      <c r="R10" s="1">
        <v>38293.199999999997</v>
      </c>
      <c r="S10" s="1"/>
      <c r="T10" s="1"/>
      <c r="U10" s="1"/>
      <c r="V10" s="1"/>
      <c r="W10" s="1"/>
      <c r="X10" s="1"/>
      <c r="Y10" s="1"/>
      <c r="Z10" s="1">
        <v>1195328.95</v>
      </c>
      <c r="AA10" s="1">
        <v>1126468.53</v>
      </c>
      <c r="AB10" s="1">
        <v>1345813.84</v>
      </c>
      <c r="AC10" s="1">
        <v>1126468.53</v>
      </c>
      <c r="AD10" s="26">
        <v>170780.89</v>
      </c>
      <c r="AE10" s="26"/>
      <c r="AF10" s="16"/>
      <c r="AG10" s="16"/>
    </row>
    <row r="11" spans="2:33" ht="16.2" customHeight="1">
      <c r="B11" s="51" t="s">
        <v>9</v>
      </c>
      <c r="C11" s="5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26">
        <v>1318522.7</v>
      </c>
      <c r="AE11" s="26"/>
      <c r="AF11" s="16"/>
      <c r="AG11" s="16"/>
    </row>
    <row r="12" spans="2:33" ht="40.200000000000003" customHeight="1">
      <c r="B12" s="51" t="s">
        <v>10</v>
      </c>
      <c r="C12" s="5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v>-16948.759999999998</v>
      </c>
      <c r="AA12" s="1"/>
      <c r="AB12" s="1">
        <v>-12504.65</v>
      </c>
      <c r="AC12" s="1"/>
      <c r="AD12" s="26">
        <v>1120286.68</v>
      </c>
      <c r="AE12" s="26"/>
      <c r="AF12" s="16"/>
      <c r="AG12" s="16"/>
    </row>
    <row r="13" spans="2:33" ht="28.2" customHeight="1">
      <c r="B13" s="51" t="s">
        <v>11</v>
      </c>
      <c r="C13" s="52"/>
      <c r="D13" s="1"/>
      <c r="E13" s="1"/>
      <c r="F13" s="1">
        <v>74918</v>
      </c>
      <c r="G13" s="1">
        <v>74918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v>-169005.65</v>
      </c>
      <c r="AA13" s="1"/>
      <c r="AB13" s="1">
        <v>-166275.26999999999</v>
      </c>
      <c r="AC13" s="1"/>
      <c r="AD13" s="20"/>
      <c r="AE13" s="20"/>
      <c r="AF13" s="16"/>
      <c r="AG13" s="16"/>
    </row>
    <row r="14" spans="2:33" ht="16.8" customHeight="1">
      <c r="B14" s="51" t="s">
        <v>17</v>
      </c>
      <c r="C14" s="52"/>
      <c r="D14" s="1"/>
      <c r="E14" s="1"/>
      <c r="F14" s="1">
        <v>1510388.45</v>
      </c>
      <c r="G14" s="1">
        <f>169005.65+1557280.15</f>
        <v>1726285.7999999998</v>
      </c>
      <c r="H14" s="1">
        <v>1726285.8</v>
      </c>
      <c r="I14" s="1">
        <v>1726285.8</v>
      </c>
      <c r="J14" s="1">
        <v>1726285.8</v>
      </c>
      <c r="K14" s="1">
        <v>1726285.8</v>
      </c>
      <c r="L14" s="1">
        <v>1726285.8</v>
      </c>
      <c r="M14" s="1">
        <v>1726285.8</v>
      </c>
      <c r="N14" s="1">
        <v>1726285.8</v>
      </c>
      <c r="O14" s="1">
        <v>1726285.8</v>
      </c>
      <c r="P14" s="1">
        <v>1726285.8</v>
      </c>
      <c r="Q14" s="1">
        <v>1726285.8</v>
      </c>
      <c r="R14" s="1">
        <v>1726285.8</v>
      </c>
      <c r="S14" s="1">
        <v>1726285.8</v>
      </c>
      <c r="T14" s="1">
        <v>1758347.09</v>
      </c>
      <c r="U14" s="1">
        <v>1726285.8</v>
      </c>
      <c r="V14" s="1">
        <v>1761309.72</v>
      </c>
      <c r="W14" s="1">
        <v>1726285.8</v>
      </c>
      <c r="X14" s="1">
        <v>1748835.28</v>
      </c>
      <c r="Y14" s="1">
        <v>1726285.8</v>
      </c>
      <c r="Z14" s="1"/>
      <c r="AA14" s="1"/>
      <c r="AB14" s="1"/>
      <c r="AC14" s="1"/>
      <c r="AD14" s="20"/>
      <c r="AE14" s="20"/>
      <c r="AF14" s="16"/>
      <c r="AG14" s="16"/>
    </row>
    <row r="15" spans="2:33">
      <c r="B15" s="56" t="s">
        <v>2</v>
      </c>
      <c r="C15" s="53"/>
      <c r="D15" s="31">
        <f t="shared" ref="D15:E15" si="1">SUM(D17:D21)</f>
        <v>0</v>
      </c>
      <c r="E15" s="31">
        <f t="shared" si="1"/>
        <v>0</v>
      </c>
      <c r="F15" s="31">
        <f t="shared" ref="F15:AE15" si="2">SUM(F17:F21)</f>
        <v>35747.5</v>
      </c>
      <c r="G15" s="31">
        <f t="shared" si="2"/>
        <v>0</v>
      </c>
      <c r="H15" s="31">
        <f t="shared" si="2"/>
        <v>0</v>
      </c>
      <c r="I15" s="31">
        <f t="shared" si="2"/>
        <v>0</v>
      </c>
      <c r="J15" s="31">
        <f t="shared" si="2"/>
        <v>0</v>
      </c>
      <c r="K15" s="31">
        <f t="shared" si="2"/>
        <v>0</v>
      </c>
      <c r="L15" s="31">
        <f t="shared" si="2"/>
        <v>120756.41</v>
      </c>
      <c r="M15" s="31">
        <f t="shared" si="2"/>
        <v>0</v>
      </c>
      <c r="N15" s="31">
        <f t="shared" si="2"/>
        <v>144077.24</v>
      </c>
      <c r="O15" s="31">
        <f t="shared" si="2"/>
        <v>0</v>
      </c>
      <c r="P15" s="31">
        <f t="shared" si="2"/>
        <v>122267.09</v>
      </c>
      <c r="Q15" s="31">
        <f t="shared" si="2"/>
        <v>0</v>
      </c>
      <c r="R15" s="31">
        <f t="shared" si="2"/>
        <v>81760.240000000005</v>
      </c>
      <c r="S15" s="31">
        <f t="shared" si="2"/>
        <v>0</v>
      </c>
      <c r="T15" s="31">
        <f t="shared" si="2"/>
        <v>68067.33</v>
      </c>
      <c r="U15" s="31">
        <f t="shared" si="2"/>
        <v>0</v>
      </c>
      <c r="V15" s="31">
        <f t="shared" si="2"/>
        <v>61711.68</v>
      </c>
      <c r="W15" s="31">
        <f t="shared" si="2"/>
        <v>0</v>
      </c>
      <c r="X15" s="31">
        <f t="shared" si="2"/>
        <v>0</v>
      </c>
      <c r="Y15" s="31">
        <f t="shared" si="2"/>
        <v>0</v>
      </c>
      <c r="Z15" s="31">
        <f t="shared" si="2"/>
        <v>217.78</v>
      </c>
      <c r="AA15" s="31">
        <f t="shared" si="2"/>
        <v>0</v>
      </c>
      <c r="AB15" s="31">
        <f>SUM(AB17:AB21)</f>
        <v>833.01</v>
      </c>
      <c r="AC15" s="31">
        <f t="shared" si="2"/>
        <v>0</v>
      </c>
      <c r="AD15" s="31">
        <f t="shared" si="2"/>
        <v>595920.68999999994</v>
      </c>
      <c r="AE15" s="31">
        <f t="shared" si="2"/>
        <v>0</v>
      </c>
      <c r="AF15" s="50">
        <f>AD15/AB15-1</f>
        <v>714.38239636979142</v>
      </c>
      <c r="AG15" s="50">
        <v>0</v>
      </c>
    </row>
    <row r="16" spans="2:33">
      <c r="B16" s="54"/>
      <c r="C16" s="5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59"/>
      <c r="AE16" s="59"/>
      <c r="AF16" s="32"/>
      <c r="AG16" s="32"/>
    </row>
    <row r="17" spans="2:33" ht="43.2" customHeight="1">
      <c r="B17" s="51" t="s">
        <v>12</v>
      </c>
      <c r="C17" s="52"/>
      <c r="D17" s="2"/>
      <c r="E17" s="2"/>
      <c r="F17" s="2">
        <v>35747.5</v>
      </c>
      <c r="G17" s="2"/>
      <c r="H17" s="2"/>
      <c r="I17" s="2"/>
      <c r="J17" s="2"/>
      <c r="K17" s="2"/>
      <c r="L17" s="2">
        <v>120756.41</v>
      </c>
      <c r="M17" s="2"/>
      <c r="N17" s="2">
        <v>144077.24</v>
      </c>
      <c r="O17" s="2"/>
      <c r="P17" s="2">
        <v>122267.09</v>
      </c>
      <c r="Q17" s="2"/>
      <c r="R17" s="2">
        <v>67770.240000000005</v>
      </c>
      <c r="S17" s="2"/>
      <c r="T17" s="2">
        <f>65281.19+2786.14</f>
        <v>68067.33</v>
      </c>
      <c r="U17" s="2"/>
      <c r="V17" s="2">
        <v>61711.68</v>
      </c>
      <c r="W17" s="2"/>
      <c r="X17" s="2"/>
      <c r="Y17" s="2"/>
      <c r="Z17" s="2">
        <v>217.78</v>
      </c>
      <c r="AA17" s="2"/>
      <c r="AB17" s="2">
        <v>833.01</v>
      </c>
      <c r="AC17" s="2"/>
      <c r="AD17" s="24">
        <v>140901.69</v>
      </c>
      <c r="AE17" s="24"/>
      <c r="AF17" s="19"/>
      <c r="AG17" s="19"/>
    </row>
    <row r="18" spans="2:33" ht="13.8" customHeight="1">
      <c r="B18" s="51" t="s">
        <v>9</v>
      </c>
      <c r="C18" s="5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4">
        <v>280548</v>
      </c>
      <c r="AE18" s="24"/>
      <c r="AF18" s="19"/>
      <c r="AG18" s="19"/>
    </row>
    <row r="19" spans="2:33" ht="42.6" customHeight="1">
      <c r="B19" s="51" t="s">
        <v>10</v>
      </c>
      <c r="C19" s="5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4">
        <v>159316</v>
      </c>
      <c r="AE19" s="24"/>
      <c r="AF19" s="19"/>
      <c r="AG19" s="19"/>
    </row>
    <row r="20" spans="2:33" ht="28.8" customHeight="1">
      <c r="B20" s="51" t="s">
        <v>11</v>
      </c>
      <c r="C20" s="5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>
        <v>13990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4">
        <v>15155</v>
      </c>
      <c r="AE20" s="24"/>
      <c r="AF20" s="19"/>
      <c r="AG20" s="19"/>
    </row>
    <row r="21" spans="2:33" ht="16.8" customHeight="1">
      <c r="B21" s="51" t="s">
        <v>17</v>
      </c>
      <c r="C21" s="5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1"/>
      <c r="AE21" s="21"/>
      <c r="AF21" s="19"/>
      <c r="AG21" s="19"/>
    </row>
    <row r="22" spans="2:33">
      <c r="B22" s="56" t="s">
        <v>3</v>
      </c>
      <c r="C22" s="53"/>
      <c r="D22" s="31">
        <v>54846675.530000001</v>
      </c>
      <c r="E22" s="31">
        <v>48940486.590000004</v>
      </c>
      <c r="F22" s="31">
        <f t="shared" ref="F22" si="3">SUM(F24:F28)</f>
        <v>64656891.350000001</v>
      </c>
      <c r="G22" s="31">
        <f>SUM(G24:G28)</f>
        <v>51440732.669999994</v>
      </c>
      <c r="H22" s="31">
        <f t="shared" ref="H22:AE22" si="4">SUM(H24:H28)</f>
        <v>69207433.140000001</v>
      </c>
      <c r="I22" s="31">
        <f t="shared" si="4"/>
        <v>50454846.649999999</v>
      </c>
      <c r="J22" s="31">
        <f t="shared" si="4"/>
        <v>70742852.230000004</v>
      </c>
      <c r="K22" s="31">
        <f t="shared" si="4"/>
        <v>55024116.890000001</v>
      </c>
      <c r="L22" s="31">
        <f t="shared" si="4"/>
        <v>70605066.099999994</v>
      </c>
      <c r="M22" s="31">
        <f t="shared" si="4"/>
        <v>57943952.730000004</v>
      </c>
      <c r="N22" s="31">
        <f t="shared" si="4"/>
        <v>73371785.549999997</v>
      </c>
      <c r="O22" s="31">
        <f t="shared" si="4"/>
        <v>57519633.82</v>
      </c>
      <c r="P22" s="31">
        <f t="shared" si="4"/>
        <v>69857012.25</v>
      </c>
      <c r="Q22" s="31">
        <f t="shared" si="4"/>
        <v>65548817.789999999</v>
      </c>
      <c r="R22" s="31">
        <f t="shared" si="4"/>
        <v>71509757.569999993</v>
      </c>
      <c r="S22" s="31">
        <f t="shared" si="4"/>
        <v>57862859.439999998</v>
      </c>
      <c r="T22" s="31">
        <f t="shared" si="4"/>
        <v>71486946.959999993</v>
      </c>
      <c r="U22" s="31">
        <f t="shared" si="4"/>
        <v>57789918.439999998</v>
      </c>
      <c r="V22" s="31">
        <f t="shared" si="4"/>
        <v>70592079.479999989</v>
      </c>
      <c r="W22" s="31">
        <f t="shared" si="4"/>
        <v>61579945.239999995</v>
      </c>
      <c r="X22" s="31">
        <f t="shared" si="4"/>
        <v>66866461.460000001</v>
      </c>
      <c r="Y22" s="31">
        <f t="shared" si="4"/>
        <v>57735277.960000001</v>
      </c>
      <c r="Z22" s="31">
        <f t="shared" si="4"/>
        <v>103038065.23999999</v>
      </c>
      <c r="AA22" s="31">
        <f t="shared" si="4"/>
        <v>90836160.789999992</v>
      </c>
      <c r="AB22" s="31">
        <f t="shared" si="4"/>
        <v>72994840.390000001</v>
      </c>
      <c r="AC22" s="31">
        <f t="shared" si="4"/>
        <v>65340039.269999996</v>
      </c>
      <c r="AD22" s="31">
        <f t="shared" si="4"/>
        <v>58661722.360000007</v>
      </c>
      <c r="AE22" s="31">
        <f t="shared" si="4"/>
        <v>22976061.470000003</v>
      </c>
      <c r="AF22" s="50">
        <f>AD22/AB22-1</f>
        <v>-0.19635796110273529</v>
      </c>
      <c r="AG22" s="50">
        <f>AE22/AC22-1</f>
        <v>-0.64836168256560645</v>
      </c>
    </row>
    <row r="23" spans="2:33">
      <c r="B23" s="54"/>
      <c r="C23" s="55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59"/>
      <c r="AE23" s="59"/>
      <c r="AF23" s="32"/>
      <c r="AG23" s="32"/>
    </row>
    <row r="24" spans="2:33" ht="42" customHeight="1">
      <c r="B24" s="51" t="s">
        <v>12</v>
      </c>
      <c r="C24" s="52"/>
      <c r="D24" s="2"/>
      <c r="E24" s="2"/>
      <c r="F24" s="2">
        <v>10110055.9</v>
      </c>
      <c r="G24" s="2">
        <f>51442088.62-49312861.59</f>
        <v>2129227.0299999937</v>
      </c>
      <c r="H24" s="2">
        <v>10146692.35</v>
      </c>
      <c r="I24" s="2">
        <v>2129227.0299999998</v>
      </c>
      <c r="J24" s="2">
        <v>14616479.76</v>
      </c>
      <c r="K24" s="2">
        <v>2129227.0299999998</v>
      </c>
      <c r="L24" s="2">
        <v>7843217.96</v>
      </c>
      <c r="M24" s="2">
        <v>2129227.0299999998</v>
      </c>
      <c r="N24" s="2">
        <v>7533070</v>
      </c>
      <c r="O24" s="2">
        <v>2129227.0299999998</v>
      </c>
      <c r="P24" s="2">
        <v>6652443.1100000003</v>
      </c>
      <c r="Q24" s="2">
        <v>2344248.65</v>
      </c>
      <c r="R24" s="2">
        <f>8677372.77+42645.25</f>
        <v>8720018.0199999996</v>
      </c>
      <c r="S24" s="2">
        <f>2344248.65</f>
        <v>2344248.65</v>
      </c>
      <c r="T24" s="2">
        <f>69747.65+9218096.72</f>
        <v>9287844.370000001</v>
      </c>
      <c r="U24" s="2">
        <v>2271307.65</v>
      </c>
      <c r="V24" s="2">
        <f>94170.06+10964271.83</f>
        <v>11058441.890000001</v>
      </c>
      <c r="W24" s="2">
        <f>2046307.65</f>
        <v>2046307.65</v>
      </c>
      <c r="X24" s="2">
        <f>11194823.81+98358.34</f>
        <v>11293182.15</v>
      </c>
      <c r="Y24" s="2">
        <f>2161998.65</f>
        <v>2161998.65</v>
      </c>
      <c r="Z24" s="2">
        <v>13594212.15</v>
      </c>
      <c r="AA24" s="2">
        <v>4751435.4800000004</v>
      </c>
      <c r="AB24" s="2">
        <f>80709.31+7457152.01</f>
        <v>7537861.3199999994</v>
      </c>
      <c r="AC24" s="2">
        <f>460470.79</f>
        <v>460470.79</v>
      </c>
      <c r="AD24" s="24">
        <v>12276274.99</v>
      </c>
      <c r="AE24" s="24">
        <v>2451456.35</v>
      </c>
      <c r="AF24" s="19"/>
      <c r="AG24" s="19"/>
    </row>
    <row r="25" spans="2:33" ht="15" customHeight="1">
      <c r="B25" s="51" t="s">
        <v>9</v>
      </c>
      <c r="C25" s="5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4">
        <v>22345528.539999999</v>
      </c>
      <c r="AE25" s="24"/>
      <c r="AF25" s="19"/>
      <c r="AG25" s="19"/>
    </row>
    <row r="26" spans="2:33" ht="43.2" customHeight="1">
      <c r="B26" s="51" t="s">
        <v>10</v>
      </c>
      <c r="C26" s="52"/>
      <c r="D26" s="2"/>
      <c r="E26" s="2"/>
      <c r="F26" s="2">
        <v>4317281.3899999997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3356790.95</v>
      </c>
      <c r="AA26" s="2"/>
      <c r="AB26" s="2">
        <v>162.02000000000001</v>
      </c>
      <c r="AC26" s="2"/>
      <c r="AD26" s="24">
        <v>2987766.43</v>
      </c>
      <c r="AE26" s="24"/>
      <c r="AF26" s="19"/>
      <c r="AG26" s="19"/>
    </row>
    <row r="27" spans="2:33" ht="25.2" customHeight="1">
      <c r="B27" s="51" t="s">
        <v>11</v>
      </c>
      <c r="C27" s="52"/>
      <c r="D27" s="2"/>
      <c r="E27" s="2"/>
      <c r="F27" s="2">
        <v>50229554.060000002</v>
      </c>
      <c r="G27" s="2">
        <v>49311505.640000001</v>
      </c>
      <c r="H27" s="2">
        <f>54914409.14+4146331.65</f>
        <v>59060740.789999999</v>
      </c>
      <c r="I27" s="2">
        <f>4092516+44233103.62</f>
        <v>48325619.619999997</v>
      </c>
      <c r="J27" s="2">
        <f>4125519+52000853.47</f>
        <v>56126372.469999999</v>
      </c>
      <c r="K27" s="2">
        <f>4092516+48802373.86</f>
        <v>52894889.859999999</v>
      </c>
      <c r="L27" s="2">
        <f>4106722+58655126.14</f>
        <v>62761848.140000001</v>
      </c>
      <c r="M27" s="2">
        <f>4092516+51722209.7</f>
        <v>55814725.700000003</v>
      </c>
      <c r="N27" s="2">
        <f>3726327.65+62112387.9</f>
        <v>65838715.549999997</v>
      </c>
      <c r="O27" s="2">
        <f>51679075.14+3711331.65</f>
        <v>55390406.789999999</v>
      </c>
      <c r="P27" s="2">
        <f>3292052+59912517.14</f>
        <v>63204569.140000001</v>
      </c>
      <c r="Q27" s="2">
        <f>3292052+59912517.14</f>
        <v>63204569.140000001</v>
      </c>
      <c r="R27" s="2">
        <f>59493077.9+3296661.65</f>
        <v>62789739.549999997</v>
      </c>
      <c r="S27" s="2">
        <f>3296661.65+52221949.14</f>
        <v>55518610.789999999</v>
      </c>
      <c r="T27" s="2">
        <f>58887656.94+3311445.65</f>
        <v>62199102.589999996</v>
      </c>
      <c r="U27" s="2">
        <f>3296661.65+52221949.14</f>
        <v>55518610.789999999</v>
      </c>
      <c r="V27" s="2">
        <f>56222191.94+3311445.65</f>
        <v>59533637.589999996</v>
      </c>
      <c r="W27" s="2">
        <f>3311445.65+56222191.94</f>
        <v>59533637.589999996</v>
      </c>
      <c r="X27" s="2">
        <f>1281078.35+54292200.96</f>
        <v>55573279.310000002</v>
      </c>
      <c r="Y27" s="2">
        <f>54292200.96+1281078.35</f>
        <v>55573279.310000002</v>
      </c>
      <c r="Z27" s="2">
        <v>55305512.479999997</v>
      </c>
      <c r="AA27" s="2">
        <v>55305512.479999997</v>
      </c>
      <c r="AB27" s="2">
        <f>38710647.01</f>
        <v>38710647.009999998</v>
      </c>
      <c r="AC27" s="2">
        <v>38710647.009999998</v>
      </c>
      <c r="AD27" s="24">
        <v>18249454.300000001</v>
      </c>
      <c r="AE27" s="24">
        <v>18249454.300000001</v>
      </c>
      <c r="AF27" s="19"/>
      <c r="AG27" s="19"/>
    </row>
    <row r="28" spans="2:33" ht="18" customHeight="1">
      <c r="B28" s="51" t="s">
        <v>17</v>
      </c>
      <c r="C28" s="5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v>30781549.66</v>
      </c>
      <c r="AA28" s="2">
        <v>30779212.829999998</v>
      </c>
      <c r="AB28" s="2">
        <f>7970.78+26738199.26</f>
        <v>26746170.040000003</v>
      </c>
      <c r="AC28" s="2">
        <v>26168921.469999999</v>
      </c>
      <c r="AD28" s="24">
        <v>2802698.1</v>
      </c>
      <c r="AE28" s="24">
        <v>2275150.8199999998</v>
      </c>
      <c r="AF28" s="19"/>
      <c r="AG28" s="19"/>
    </row>
    <row r="29" spans="2:33">
      <c r="B29" s="56" t="s">
        <v>4</v>
      </c>
      <c r="C29" s="53"/>
      <c r="D29" s="31">
        <v>-7680.14</v>
      </c>
      <c r="E29" s="31">
        <f t="shared" ref="E29" si="5">SUM(E31:E35)</f>
        <v>0</v>
      </c>
      <c r="F29" s="31">
        <f t="shared" ref="F29:AE29" si="6">SUM(F31:F35)</f>
        <v>0</v>
      </c>
      <c r="G29" s="31">
        <f t="shared" si="6"/>
        <v>0</v>
      </c>
      <c r="H29" s="31">
        <f t="shared" si="6"/>
        <v>114426.95</v>
      </c>
      <c r="I29" s="31">
        <f t="shared" si="6"/>
        <v>0</v>
      </c>
      <c r="J29" s="31">
        <f t="shared" si="6"/>
        <v>88290.77</v>
      </c>
      <c r="K29" s="31">
        <f t="shared" si="6"/>
        <v>0</v>
      </c>
      <c r="L29" s="31">
        <f t="shared" si="6"/>
        <v>51440.42</v>
      </c>
      <c r="M29" s="31">
        <f t="shared" si="6"/>
        <v>0</v>
      </c>
      <c r="N29" s="31">
        <f t="shared" si="6"/>
        <v>169857.58</v>
      </c>
      <c r="O29" s="31">
        <f t="shared" si="6"/>
        <v>0</v>
      </c>
      <c r="P29" s="31">
        <f t="shared" si="6"/>
        <v>77731.77</v>
      </c>
      <c r="Q29" s="31">
        <f t="shared" si="6"/>
        <v>0</v>
      </c>
      <c r="R29" s="31">
        <f t="shared" si="6"/>
        <v>55035.07</v>
      </c>
      <c r="S29" s="31">
        <f t="shared" si="6"/>
        <v>0</v>
      </c>
      <c r="T29" s="31">
        <f t="shared" si="6"/>
        <v>80513.679999999993</v>
      </c>
      <c r="U29" s="31">
        <f t="shared" si="6"/>
        <v>0</v>
      </c>
      <c r="V29" s="31">
        <f t="shared" si="6"/>
        <v>77945.259999999995</v>
      </c>
      <c r="W29" s="31">
        <f t="shared" si="6"/>
        <v>0</v>
      </c>
      <c r="X29" s="31">
        <f t="shared" si="6"/>
        <v>84064.9</v>
      </c>
      <c r="Y29" s="31">
        <f t="shared" si="6"/>
        <v>0</v>
      </c>
      <c r="Z29" s="31">
        <f t="shared" si="6"/>
        <v>0</v>
      </c>
      <c r="AA29" s="31">
        <f t="shared" si="6"/>
        <v>0</v>
      </c>
      <c r="AB29" s="31">
        <f t="shared" si="6"/>
        <v>2321.35</v>
      </c>
      <c r="AC29" s="31">
        <f t="shared" si="6"/>
        <v>0</v>
      </c>
      <c r="AD29" s="31">
        <f t="shared" si="6"/>
        <v>712277.94</v>
      </c>
      <c r="AE29" s="31">
        <f t="shared" si="6"/>
        <v>0</v>
      </c>
      <c r="AF29" s="50">
        <f>AD29/AB29-1</f>
        <v>305.83780558726602</v>
      </c>
      <c r="AG29" s="50">
        <v>0</v>
      </c>
    </row>
    <row r="30" spans="2:33">
      <c r="B30" s="54"/>
      <c r="C30" s="55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59"/>
      <c r="AE30" s="59"/>
      <c r="AF30" s="32"/>
      <c r="AG30" s="32"/>
    </row>
    <row r="31" spans="2:33" ht="42" customHeight="1">
      <c r="B31" s="51" t="s">
        <v>12</v>
      </c>
      <c r="C31" s="52"/>
      <c r="D31" s="2">
        <v>0</v>
      </c>
      <c r="E31" s="2"/>
      <c r="F31" s="2">
        <v>0</v>
      </c>
      <c r="G31" s="2"/>
      <c r="H31" s="2">
        <v>114426.95</v>
      </c>
      <c r="I31" s="2"/>
      <c r="J31" s="2">
        <v>88290.77</v>
      </c>
      <c r="K31" s="2"/>
      <c r="L31" s="2">
        <v>51440.42</v>
      </c>
      <c r="M31" s="2"/>
      <c r="N31" s="2">
        <v>169857.58</v>
      </c>
      <c r="O31" s="2"/>
      <c r="P31" s="2">
        <v>77731.77</v>
      </c>
      <c r="Q31" s="2"/>
      <c r="R31" s="2">
        <v>55035.07</v>
      </c>
      <c r="S31" s="2"/>
      <c r="T31" s="2">
        <v>80513.679999999993</v>
      </c>
      <c r="U31" s="2"/>
      <c r="V31" s="2">
        <v>77945.259999999995</v>
      </c>
      <c r="W31" s="2"/>
      <c r="X31" s="2">
        <v>84064.9</v>
      </c>
      <c r="Y31" s="2"/>
      <c r="Z31" s="2"/>
      <c r="AA31" s="2"/>
      <c r="AB31" s="2">
        <v>2321.35</v>
      </c>
      <c r="AC31" s="2"/>
      <c r="AD31" s="24">
        <v>128485.42</v>
      </c>
      <c r="AE31" s="24"/>
      <c r="AF31" s="19"/>
      <c r="AG31" s="19"/>
    </row>
    <row r="32" spans="2:33" ht="14.4" customHeight="1">
      <c r="B32" s="51" t="s">
        <v>9</v>
      </c>
      <c r="C32" s="5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4">
        <v>325888.88</v>
      </c>
      <c r="AE32" s="24"/>
      <c r="AF32" s="19"/>
      <c r="AG32" s="19"/>
    </row>
    <row r="33" spans="2:33" ht="42.6" customHeight="1">
      <c r="B33" s="51" t="s">
        <v>10</v>
      </c>
      <c r="C33" s="52"/>
      <c r="D33" s="2">
        <v>0</v>
      </c>
      <c r="E33" s="2"/>
      <c r="F33" s="2"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4"/>
      <c r="AE33" s="24"/>
      <c r="AF33" s="19"/>
      <c r="AG33" s="19"/>
    </row>
    <row r="34" spans="2:33" ht="28.2" customHeight="1">
      <c r="B34" s="51" t="s">
        <v>11</v>
      </c>
      <c r="C34" s="5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4">
        <v>257903.64</v>
      </c>
      <c r="AE34" s="24"/>
      <c r="AF34" s="19"/>
      <c r="AG34" s="19"/>
    </row>
    <row r="35" spans="2:33" ht="14.4" customHeight="1">
      <c r="B35" s="51" t="s">
        <v>17</v>
      </c>
      <c r="C35" s="5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1"/>
      <c r="AE35" s="21"/>
      <c r="AF35" s="19"/>
      <c r="AG35" s="19"/>
    </row>
    <row r="36" spans="2:33">
      <c r="B36" s="56" t="s">
        <v>20</v>
      </c>
      <c r="C36" s="53"/>
      <c r="D36" s="31">
        <v>24738.76</v>
      </c>
      <c r="E36" s="31">
        <f t="shared" ref="E36:AC36" si="7">SUM(E38:E42)</f>
        <v>0</v>
      </c>
      <c r="F36" s="31">
        <f t="shared" si="7"/>
        <v>162585.41</v>
      </c>
      <c r="G36" s="31">
        <f t="shared" si="7"/>
        <v>0</v>
      </c>
      <c r="H36" s="31">
        <f t="shared" si="7"/>
        <v>2836261.8599999994</v>
      </c>
      <c r="I36" s="31">
        <f t="shared" si="7"/>
        <v>179639.45</v>
      </c>
      <c r="J36" s="31">
        <f t="shared" si="7"/>
        <v>2968161.5</v>
      </c>
      <c r="K36" s="31">
        <f t="shared" si="7"/>
        <v>179639.45</v>
      </c>
      <c r="L36" s="31">
        <f t="shared" si="7"/>
        <v>3579888.6599999997</v>
      </c>
      <c r="M36" s="31">
        <f t="shared" si="7"/>
        <v>179639.45</v>
      </c>
      <c r="N36" s="31">
        <f t="shared" si="7"/>
        <v>2288254.44</v>
      </c>
      <c r="O36" s="31">
        <f t="shared" si="7"/>
        <v>179639.45</v>
      </c>
      <c r="P36" s="31">
        <f t="shared" si="7"/>
        <v>2699902.61</v>
      </c>
      <c r="Q36" s="31">
        <f t="shared" si="7"/>
        <v>179639.45</v>
      </c>
      <c r="R36" s="31">
        <f t="shared" si="7"/>
        <v>2782603.59</v>
      </c>
      <c r="S36" s="31">
        <f t="shared" si="7"/>
        <v>179639.45</v>
      </c>
      <c r="T36" s="31">
        <f t="shared" si="7"/>
        <v>2615855.7999999998</v>
      </c>
      <c r="U36" s="31">
        <f t="shared" si="7"/>
        <v>179639.45</v>
      </c>
      <c r="V36" s="31">
        <f t="shared" si="7"/>
        <v>2483055.5499999998</v>
      </c>
      <c r="W36" s="31">
        <f t="shared" si="7"/>
        <v>142806.04</v>
      </c>
      <c r="X36" s="31">
        <f t="shared" si="7"/>
        <v>2680559.16</v>
      </c>
      <c r="Y36" s="31">
        <f t="shared" si="7"/>
        <v>142806.04</v>
      </c>
      <c r="Z36" s="31">
        <f t="shared" si="7"/>
        <v>79878.12999999999</v>
      </c>
      <c r="AA36" s="31">
        <f t="shared" si="7"/>
        <v>0</v>
      </c>
      <c r="AB36" s="31">
        <f t="shared" si="7"/>
        <v>95495.42</v>
      </c>
      <c r="AC36" s="31">
        <f t="shared" si="7"/>
        <v>0</v>
      </c>
      <c r="AD36" s="31">
        <f t="shared" ref="AD36:AE36" si="8">SUM(AD38:AD42)</f>
        <v>2583105.66</v>
      </c>
      <c r="AE36" s="31">
        <f t="shared" si="8"/>
        <v>0</v>
      </c>
      <c r="AF36" s="50">
        <f>AD36/AB36-1</f>
        <v>26.04952405047279</v>
      </c>
      <c r="AG36" s="50">
        <v>0</v>
      </c>
    </row>
    <row r="37" spans="2:33">
      <c r="B37" s="54"/>
      <c r="C37" s="5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59"/>
      <c r="AE37" s="59"/>
      <c r="AF37" s="32"/>
      <c r="AG37" s="32"/>
    </row>
    <row r="38" spans="2:33" ht="43.2" customHeight="1">
      <c r="B38" s="51" t="s">
        <v>12</v>
      </c>
      <c r="C38" s="52"/>
      <c r="D38" s="2"/>
      <c r="E38" s="2"/>
      <c r="F38" s="2">
        <v>162585.41</v>
      </c>
      <c r="G38" s="2"/>
      <c r="H38" s="2">
        <f>410855.69+138863.03</f>
        <v>549718.72</v>
      </c>
      <c r="I38" s="2">
        <v>179639.45</v>
      </c>
      <c r="J38" s="2">
        <f>349786.74+482870.23</f>
        <v>832656.97</v>
      </c>
      <c r="K38" s="2">
        <v>179639.45</v>
      </c>
      <c r="L38" s="2">
        <f>325550.4+256894.84</f>
        <v>582445.24</v>
      </c>
      <c r="M38" s="2">
        <v>179639.45</v>
      </c>
      <c r="N38" s="2">
        <f>32098.35+367708.31</f>
        <v>399806.66</v>
      </c>
      <c r="O38" s="2">
        <v>179639.45</v>
      </c>
      <c r="P38" s="2">
        <f>19053.66+339996.73</f>
        <v>359050.38999999996</v>
      </c>
      <c r="Q38" s="2">
        <v>179639.45</v>
      </c>
      <c r="R38" s="2">
        <f>214101.64+184501.39</f>
        <v>398603.03</v>
      </c>
      <c r="S38" s="2">
        <v>179639.45</v>
      </c>
      <c r="T38" s="2">
        <f>293392.92+82646.26</f>
        <v>376039.18</v>
      </c>
      <c r="U38" s="2">
        <v>179639.45</v>
      </c>
      <c r="V38" s="2">
        <f>18347.3+293392.92</f>
        <v>311740.21999999997</v>
      </c>
      <c r="W38" s="2">
        <f>142806.04</f>
        <v>142806.04</v>
      </c>
      <c r="X38" s="2">
        <f>175124.05+248350.04</f>
        <v>423474.08999999997</v>
      </c>
      <c r="Y38" s="2">
        <v>142806.04</v>
      </c>
      <c r="Z38" s="2">
        <v>99147.76</v>
      </c>
      <c r="AA38" s="2"/>
      <c r="AB38" s="2">
        <f>688.52+107436.01</f>
        <v>108124.53</v>
      </c>
      <c r="AC38" s="2"/>
      <c r="AD38" s="24">
        <v>71136.7</v>
      </c>
      <c r="AE38" s="24"/>
      <c r="AF38" s="19"/>
      <c r="AG38" s="19"/>
    </row>
    <row r="39" spans="2:33" ht="16.8" customHeight="1">
      <c r="B39" s="51" t="s">
        <v>9</v>
      </c>
      <c r="C39" s="52"/>
      <c r="D39" s="2"/>
      <c r="E39" s="2"/>
      <c r="F39" s="2"/>
      <c r="G39" s="2"/>
      <c r="H39" s="2">
        <f>1280106.96+331142.71</f>
        <v>1611249.67</v>
      </c>
      <c r="I39" s="2"/>
      <c r="J39" s="2">
        <f>1112706.33+292125.54</f>
        <v>1404831.87</v>
      </c>
      <c r="K39" s="2"/>
      <c r="L39" s="2">
        <f>1664826.89+424726.47</f>
        <v>2089553.3599999999</v>
      </c>
      <c r="M39" s="2"/>
      <c r="N39" s="2">
        <v>1291836.76</v>
      </c>
      <c r="O39" s="2"/>
      <c r="P39" s="2">
        <f>336869.12+1006180.12</f>
        <v>1343049.24</v>
      </c>
      <c r="Q39" s="2"/>
      <c r="R39" s="2">
        <f>290310.2+1054801</f>
        <v>1345111.2</v>
      </c>
      <c r="S39" s="2"/>
      <c r="T39" s="2">
        <f>210412.6+1031728.18</f>
        <v>1242140.78</v>
      </c>
      <c r="U39" s="2"/>
      <c r="V39" s="2">
        <f>144677.62+1051908.03</f>
        <v>1196585.6499999999</v>
      </c>
      <c r="W39" s="2"/>
      <c r="X39" s="2">
        <f>257630.31+1025805.39</f>
        <v>1283435.7</v>
      </c>
      <c r="Y39" s="2"/>
      <c r="Z39" s="2"/>
      <c r="AA39" s="2"/>
      <c r="AB39" s="2"/>
      <c r="AC39" s="2"/>
      <c r="AD39" s="24">
        <v>1463207.16</v>
      </c>
      <c r="AE39" s="24"/>
      <c r="AF39" s="19"/>
      <c r="AG39" s="19"/>
    </row>
    <row r="40" spans="2:33" ht="43.2" customHeight="1">
      <c r="B40" s="51" t="s">
        <v>10</v>
      </c>
      <c r="C40" s="52"/>
      <c r="D40" s="2"/>
      <c r="E40" s="2"/>
      <c r="F40" s="2"/>
      <c r="G40" s="2"/>
      <c r="H40" s="2">
        <f>191330.96+483962.51</f>
        <v>675293.47</v>
      </c>
      <c r="I40" s="2"/>
      <c r="J40" s="2">
        <f>171605.74+559066.92</f>
        <v>730672.66</v>
      </c>
      <c r="K40" s="2"/>
      <c r="L40" s="2">
        <f>209944.24+697945.82</f>
        <v>907890.05999999994</v>
      </c>
      <c r="M40" s="2"/>
      <c r="N40" s="2">
        <v>596611.02</v>
      </c>
      <c r="O40" s="2"/>
      <c r="P40" s="2">
        <f>198862.88+580042.1</f>
        <v>778904.98</v>
      </c>
      <c r="Q40" s="2"/>
      <c r="R40" s="2">
        <f>612669.18+219338.18</f>
        <v>832007.3600000001</v>
      </c>
      <c r="S40" s="2"/>
      <c r="T40" s="2">
        <f>201317.46+630998.38</f>
        <v>832315.84</v>
      </c>
      <c r="U40" s="2"/>
      <c r="V40" s="2">
        <f>184341.93+601701.1</f>
        <v>786043.03</v>
      </c>
      <c r="W40" s="2"/>
      <c r="X40" s="2">
        <f>177715.19+604861.18</f>
        <v>782576.37000000011</v>
      </c>
      <c r="Y40" s="2"/>
      <c r="Z40" s="2">
        <v>-9193.7999999999993</v>
      </c>
      <c r="AA40" s="2"/>
      <c r="AB40" s="2">
        <f>-661.11-19438.81</f>
        <v>-20099.920000000002</v>
      </c>
      <c r="AC40" s="2"/>
      <c r="AD40" s="24">
        <v>753898.37</v>
      </c>
      <c r="AE40" s="24"/>
      <c r="AF40" s="19"/>
      <c r="AG40" s="19"/>
    </row>
    <row r="41" spans="2:33" ht="25.2" customHeight="1">
      <c r="B41" s="51" t="s">
        <v>11</v>
      </c>
      <c r="C41" s="5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>218898</f>
        <v>218898</v>
      </c>
      <c r="Q41" s="2"/>
      <c r="R41" s="2">
        <v>206882</v>
      </c>
      <c r="S41" s="2"/>
      <c r="T41" s="2">
        <v>165360</v>
      </c>
      <c r="U41" s="2"/>
      <c r="V41" s="2">
        <v>188686.65</v>
      </c>
      <c r="W41" s="2"/>
      <c r="X41" s="2">
        <f>191073</f>
        <v>191073</v>
      </c>
      <c r="Y41" s="2"/>
      <c r="Z41" s="2">
        <v>-12759</v>
      </c>
      <c r="AA41" s="2"/>
      <c r="AB41" s="2">
        <v>-11968</v>
      </c>
      <c r="AC41" s="2"/>
      <c r="AD41" s="24"/>
      <c r="AE41" s="24"/>
      <c r="AF41" s="19"/>
      <c r="AG41" s="19"/>
    </row>
    <row r="42" spans="2:33" ht="13.8" customHeight="1">
      <c r="B42" s="51" t="s">
        <v>17</v>
      </c>
      <c r="C42" s="5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>
        <v>2683.17</v>
      </c>
      <c r="AA42" s="2"/>
      <c r="AB42" s="2">
        <v>19438.810000000001</v>
      </c>
      <c r="AC42" s="2"/>
      <c r="AD42" s="24">
        <v>294863.43</v>
      </c>
      <c r="AE42" s="24"/>
      <c r="AF42" s="19"/>
      <c r="AG42" s="19"/>
    </row>
    <row r="43" spans="2:33">
      <c r="B43" s="56" t="s">
        <v>18</v>
      </c>
      <c r="C43" s="53"/>
      <c r="D43" s="31">
        <v>10765845.27</v>
      </c>
      <c r="E43" s="31">
        <v>7171240.7400000002</v>
      </c>
      <c r="F43" s="31">
        <f t="shared" ref="F43:G43" si="9">SUM(F45:F49)</f>
        <v>13066265.32</v>
      </c>
      <c r="G43" s="31">
        <f t="shared" si="9"/>
        <v>9363054.25</v>
      </c>
      <c r="H43" s="31">
        <f t="shared" ref="H43:AE43" si="10">SUM(H45:H49)</f>
        <v>12452961.670000002</v>
      </c>
      <c r="I43" s="31">
        <f t="shared" si="10"/>
        <v>10697359.270000001</v>
      </c>
      <c r="J43" s="31">
        <f t="shared" si="10"/>
        <v>10509503.82</v>
      </c>
      <c r="K43" s="31">
        <f t="shared" si="10"/>
        <v>9311032.910000002</v>
      </c>
      <c r="L43" s="31">
        <f t="shared" si="10"/>
        <v>9816963.7700000014</v>
      </c>
      <c r="M43" s="31">
        <f t="shared" si="10"/>
        <v>9514146.0000000019</v>
      </c>
      <c r="N43" s="31">
        <f t="shared" si="10"/>
        <v>10491903.119999999</v>
      </c>
      <c r="O43" s="31">
        <f t="shared" si="10"/>
        <v>10223094.629999999</v>
      </c>
      <c r="P43" s="31">
        <f t="shared" si="10"/>
        <v>11041075.82</v>
      </c>
      <c r="Q43" s="31">
        <f t="shared" si="10"/>
        <v>9852688.540000001</v>
      </c>
      <c r="R43" s="31">
        <f t="shared" si="10"/>
        <v>11491967.560000001</v>
      </c>
      <c r="S43" s="31">
        <f t="shared" si="10"/>
        <v>9865070.0600000005</v>
      </c>
      <c r="T43" s="31">
        <f t="shared" si="10"/>
        <v>12060303.5</v>
      </c>
      <c r="U43" s="31">
        <f t="shared" si="10"/>
        <v>10862190.040000001</v>
      </c>
      <c r="V43" s="31">
        <f t="shared" si="10"/>
        <v>11619250.300000001</v>
      </c>
      <c r="W43" s="31">
        <f t="shared" si="10"/>
        <v>9816511.040000001</v>
      </c>
      <c r="X43" s="31">
        <f t="shared" si="10"/>
        <v>11514591.1</v>
      </c>
      <c r="Y43" s="31">
        <f t="shared" si="10"/>
        <v>10293165.02</v>
      </c>
      <c r="Z43" s="31">
        <f t="shared" si="10"/>
        <v>14972637.870000001</v>
      </c>
      <c r="AA43" s="31">
        <f t="shared" si="10"/>
        <v>11006589.689999999</v>
      </c>
      <c r="AB43" s="31">
        <f t="shared" si="10"/>
        <v>9326658.8399999999</v>
      </c>
      <c r="AC43" s="31">
        <f t="shared" si="10"/>
        <v>4539830.71</v>
      </c>
      <c r="AD43" s="31">
        <f t="shared" si="10"/>
        <v>9886299.2800000012</v>
      </c>
      <c r="AE43" s="31">
        <f t="shared" si="10"/>
        <v>1035537</v>
      </c>
      <c r="AF43" s="50">
        <f>AD43/AB43-1</f>
        <v>6.0004386308184277E-2</v>
      </c>
      <c r="AG43" s="50">
        <f>AE43/AC43-1</f>
        <v>-0.77189964424906932</v>
      </c>
    </row>
    <row r="44" spans="2:33">
      <c r="B44" s="54"/>
      <c r="C44" s="5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59"/>
      <c r="AE44" s="59"/>
      <c r="AF44" s="32"/>
      <c r="AG44" s="32"/>
    </row>
    <row r="45" spans="2:33" ht="43.2" customHeight="1">
      <c r="B45" s="51" t="s">
        <v>12</v>
      </c>
      <c r="C45" s="52"/>
      <c r="D45" s="2"/>
      <c r="E45" s="2"/>
      <c r="F45" s="2">
        <v>1445875.56</v>
      </c>
      <c r="G45" s="2">
        <v>504057.32</v>
      </c>
      <c r="H45" s="2">
        <f>15780.83+1401592.32</f>
        <v>1417373.1500000001</v>
      </c>
      <c r="I45" s="2">
        <f>497307.75</f>
        <v>497307.75</v>
      </c>
      <c r="J45" s="2">
        <f>14359.15+1094634.15</f>
        <v>1108993.2999999998</v>
      </c>
      <c r="K45" s="2">
        <v>581610.39</v>
      </c>
      <c r="L45" s="2">
        <f>45290.3+812014.95</f>
        <v>857305.25</v>
      </c>
      <c r="M45" s="2">
        <v>554487.48</v>
      </c>
      <c r="N45" s="2">
        <f>22392+828113.09</f>
        <v>850505.09</v>
      </c>
      <c r="O45" s="2">
        <f>581696.6</f>
        <v>581696.6</v>
      </c>
      <c r="P45" s="2">
        <f>24207.15+1590490.12</f>
        <v>1614697.27</v>
      </c>
      <c r="Q45" s="2">
        <f>484794.48</f>
        <v>484794.48</v>
      </c>
      <c r="R45" s="2">
        <v>1906086.62</v>
      </c>
      <c r="S45" s="2"/>
      <c r="T45" s="2">
        <f>23600.15+1705289.54</f>
        <v>1728889.69</v>
      </c>
      <c r="U45" s="2">
        <v>530776.23</v>
      </c>
      <c r="V45" s="2">
        <f>2268996.34+30919.15</f>
        <v>2299915.4899999998</v>
      </c>
      <c r="W45" s="2">
        <v>497176.23</v>
      </c>
      <c r="X45" s="2">
        <f>2127960.81+48959.2</f>
        <v>2176920.0100000002</v>
      </c>
      <c r="Y45" s="2">
        <v>955493.93</v>
      </c>
      <c r="Z45" s="2">
        <v>2219644.2799999998</v>
      </c>
      <c r="AA45" s="2">
        <f>782752.86</f>
        <v>782752.86</v>
      </c>
      <c r="AB45" s="2">
        <f>12015.61+2032961.35</f>
        <v>2044976.9600000002</v>
      </c>
      <c r="AC45" s="2">
        <v>246682.71</v>
      </c>
      <c r="AD45" s="24">
        <v>1352693.93</v>
      </c>
      <c r="AE45" s="24"/>
      <c r="AF45" s="19"/>
      <c r="AG45" s="19"/>
    </row>
    <row r="46" spans="2:33" ht="16.2" customHeight="1">
      <c r="B46" s="51" t="s">
        <v>9</v>
      </c>
      <c r="C46" s="5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107414.79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4">
        <v>3917152.49</v>
      </c>
      <c r="AE46" s="24"/>
      <c r="AF46" s="19"/>
      <c r="AG46" s="19"/>
    </row>
    <row r="47" spans="2:33" ht="43.2" customHeight="1">
      <c r="B47" s="51" t="s">
        <v>10</v>
      </c>
      <c r="C47" s="52"/>
      <c r="D47" s="2"/>
      <c r="E47" s="2"/>
      <c r="F47" s="2">
        <v>1463841.51</v>
      </c>
      <c r="G47" s="2"/>
      <c r="H47" s="2">
        <v>166700</v>
      </c>
      <c r="I47" s="2"/>
      <c r="J47" s="2"/>
      <c r="K47" s="2"/>
      <c r="L47" s="2"/>
      <c r="M47" s="2"/>
      <c r="N47" s="2"/>
      <c r="O47" s="2"/>
      <c r="P47" s="2">
        <v>27151.16</v>
      </c>
      <c r="Q47" s="2"/>
      <c r="R47" s="2">
        <v>78572.100000000006</v>
      </c>
      <c r="S47" s="2"/>
      <c r="T47" s="2"/>
      <c r="U47" s="2"/>
      <c r="V47" s="2"/>
      <c r="W47" s="2"/>
      <c r="X47" s="2"/>
      <c r="Y47" s="2"/>
      <c r="Z47" s="2">
        <v>1439851.12</v>
      </c>
      <c r="AA47" s="2"/>
      <c r="AB47" s="2">
        <f>-34890.84+1036310.66</f>
        <v>1001419.8200000001</v>
      </c>
      <c r="AC47" s="2"/>
      <c r="AD47" s="24">
        <v>1964217.2</v>
      </c>
      <c r="AE47" s="24"/>
      <c r="AF47" s="19"/>
      <c r="AG47" s="19"/>
    </row>
    <row r="48" spans="2:33" ht="25.2" customHeight="1">
      <c r="B48" s="51" t="s">
        <v>11</v>
      </c>
      <c r="C48" s="52"/>
      <c r="D48" s="2"/>
      <c r="E48" s="2"/>
      <c r="F48" s="2">
        <v>10156548.25</v>
      </c>
      <c r="G48" s="2">
        <v>8858996.9299999997</v>
      </c>
      <c r="H48" s="2">
        <f>317.3+10868571.22</f>
        <v>10868888.520000001</v>
      </c>
      <c r="I48" s="2">
        <f>10199734.22+317.3</f>
        <v>10200051.520000001</v>
      </c>
      <c r="J48" s="2">
        <f>317.3+9400193.22</f>
        <v>9400510.5200000014</v>
      </c>
      <c r="K48" s="2">
        <f>317.3+8729105.22</f>
        <v>8729422.5200000014</v>
      </c>
      <c r="L48" s="2">
        <f>317.3+8959341.22</f>
        <v>8959658.5200000014</v>
      </c>
      <c r="M48" s="2">
        <f>317.3+8959341.22</f>
        <v>8959658.5200000014</v>
      </c>
      <c r="N48" s="2">
        <v>9641398.0299999993</v>
      </c>
      <c r="O48" s="2">
        <v>9641398.0299999993</v>
      </c>
      <c r="P48" s="2">
        <f>9367894.06</f>
        <v>9367894.0600000005</v>
      </c>
      <c r="Q48" s="2">
        <f>9367894.06</f>
        <v>9367894.0600000005</v>
      </c>
      <c r="R48" s="2">
        <f>9367894.06</f>
        <v>9367894.0600000005</v>
      </c>
      <c r="S48" s="2">
        <v>9865070.0600000005</v>
      </c>
      <c r="T48" s="2">
        <v>10331413.810000001</v>
      </c>
      <c r="U48" s="2">
        <v>10331413.810000001</v>
      </c>
      <c r="V48" s="2">
        <v>9319334.8100000005</v>
      </c>
      <c r="W48" s="2">
        <v>9319334.8100000005</v>
      </c>
      <c r="X48" s="2">
        <f>9337671.09</f>
        <v>9337671.0899999999</v>
      </c>
      <c r="Y48" s="2">
        <v>9337671.0899999999</v>
      </c>
      <c r="Z48" s="2">
        <v>11178667.26</v>
      </c>
      <c r="AA48" s="2">
        <v>10089361.619999999</v>
      </c>
      <c r="AB48" s="2">
        <f>19543.45+6260718.61</f>
        <v>6280262.0600000005</v>
      </c>
      <c r="AC48" s="2">
        <v>4293148</v>
      </c>
      <c r="AD48" s="24">
        <v>2652235.66</v>
      </c>
      <c r="AE48" s="24">
        <v>1035537</v>
      </c>
      <c r="AF48" s="19"/>
      <c r="AG48" s="19"/>
    </row>
    <row r="49" spans="2:33" ht="16.2" customHeight="1">
      <c r="B49" s="51" t="s">
        <v>17</v>
      </c>
      <c r="C49" s="5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v>31333.33</v>
      </c>
      <c r="Q49" s="2"/>
      <c r="R49" s="2">
        <v>31999.99</v>
      </c>
      <c r="S49" s="2"/>
      <c r="T49" s="2"/>
      <c r="U49" s="2"/>
      <c r="V49" s="2"/>
      <c r="W49" s="2"/>
      <c r="X49" s="2"/>
      <c r="Y49" s="2"/>
      <c r="Z49" s="2">
        <v>134475.21</v>
      </c>
      <c r="AA49" s="2">
        <v>134475.21</v>
      </c>
      <c r="AB49" s="2"/>
      <c r="AC49" s="2"/>
      <c r="AD49" s="21"/>
      <c r="AE49" s="21"/>
      <c r="AF49" s="19"/>
      <c r="AG49" s="19"/>
    </row>
    <row r="50" spans="2:33" hidden="1">
      <c r="B50" s="56" t="s">
        <v>5</v>
      </c>
      <c r="C50" s="53"/>
      <c r="D50" s="31">
        <v>654159.29</v>
      </c>
      <c r="E50" s="31">
        <f t="shared" ref="E50" si="11">SUM(E52:E56)</f>
        <v>0</v>
      </c>
      <c r="F50" s="31">
        <f t="shared" ref="F50:AC50" si="12">SUM(F52:F56)</f>
        <v>159427.71</v>
      </c>
      <c r="G50" s="31">
        <f t="shared" si="12"/>
        <v>156150</v>
      </c>
      <c r="H50" s="31">
        <f t="shared" si="12"/>
        <v>166323.26</v>
      </c>
      <c r="I50" s="31">
        <f t="shared" si="12"/>
        <v>156150</v>
      </c>
      <c r="J50" s="31">
        <f t="shared" si="12"/>
        <v>158187.54</v>
      </c>
      <c r="K50" s="31">
        <f t="shared" si="12"/>
        <v>156150</v>
      </c>
      <c r="L50" s="31">
        <f t="shared" si="12"/>
        <v>157389.10999999999</v>
      </c>
      <c r="M50" s="31">
        <f t="shared" si="12"/>
        <v>156150</v>
      </c>
      <c r="N50" s="31">
        <f t="shared" si="12"/>
        <v>162310.56</v>
      </c>
      <c r="O50" s="31">
        <f t="shared" si="12"/>
        <v>156150</v>
      </c>
      <c r="P50" s="31">
        <f t="shared" si="12"/>
        <v>158206.72</v>
      </c>
      <c r="Q50" s="31">
        <f t="shared" si="12"/>
        <v>156150</v>
      </c>
      <c r="R50" s="31">
        <f t="shared" si="12"/>
        <v>162910.32999999999</v>
      </c>
      <c r="S50" s="31">
        <f t="shared" si="12"/>
        <v>156150</v>
      </c>
      <c r="T50" s="31">
        <f t="shared" si="12"/>
        <v>159608.60999999999</v>
      </c>
      <c r="U50" s="31">
        <f t="shared" si="12"/>
        <v>156150</v>
      </c>
      <c r="V50" s="31">
        <f t="shared" si="12"/>
        <v>157986.35</v>
      </c>
      <c r="W50" s="31">
        <f t="shared" si="12"/>
        <v>156150</v>
      </c>
      <c r="X50" s="31">
        <f t="shared" si="12"/>
        <v>159926.9</v>
      </c>
      <c r="Y50" s="31">
        <f t="shared" si="12"/>
        <v>156150</v>
      </c>
      <c r="Z50" s="31">
        <f t="shared" si="12"/>
        <v>0</v>
      </c>
      <c r="AA50" s="31">
        <f t="shared" si="12"/>
        <v>0</v>
      </c>
      <c r="AB50" s="31">
        <f t="shared" si="12"/>
        <v>0</v>
      </c>
      <c r="AC50" s="31">
        <f t="shared" si="12"/>
        <v>0</v>
      </c>
      <c r="AD50" s="22"/>
      <c r="AE50" s="22"/>
      <c r="AF50" s="50">
        <f>Z50/F50-1</f>
        <v>-1</v>
      </c>
      <c r="AG50" s="50">
        <f>AA50/G50-1</f>
        <v>-1</v>
      </c>
    </row>
    <row r="51" spans="2:33" hidden="1">
      <c r="B51" s="54"/>
      <c r="C51" s="5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0"/>
      <c r="AE51" s="30"/>
      <c r="AF51" s="32"/>
      <c r="AG51" s="32"/>
    </row>
    <row r="52" spans="2:33" hidden="1">
      <c r="B52" s="51" t="s">
        <v>12</v>
      </c>
      <c r="C52" s="52"/>
      <c r="D52" s="2"/>
      <c r="E52" s="2"/>
      <c r="F52" s="2">
        <v>2936.71</v>
      </c>
      <c r="G52" s="2"/>
      <c r="H52" s="2">
        <v>10173.26</v>
      </c>
      <c r="I52" s="2"/>
      <c r="J52" s="2">
        <v>2037.54</v>
      </c>
      <c r="K52" s="2"/>
      <c r="L52" s="2">
        <v>1239.1099999999999</v>
      </c>
      <c r="M52" s="2"/>
      <c r="N52" s="2">
        <v>6160.56</v>
      </c>
      <c r="O52" s="2"/>
      <c r="P52" s="2">
        <v>2056.7199999999998</v>
      </c>
      <c r="Q52" s="2"/>
      <c r="R52" s="2">
        <v>4968.33</v>
      </c>
      <c r="S52" s="2"/>
      <c r="T52" s="2">
        <v>3458.61</v>
      </c>
      <c r="U52" s="2"/>
      <c r="V52" s="2">
        <v>1836.35</v>
      </c>
      <c r="W52" s="2"/>
      <c r="X52" s="2">
        <v>3776.9</v>
      </c>
      <c r="Y52" s="2"/>
      <c r="Z52" s="2"/>
      <c r="AA52" s="2"/>
      <c r="AB52" s="2"/>
      <c r="AC52" s="2"/>
      <c r="AD52" s="21"/>
      <c r="AE52" s="21"/>
      <c r="AF52" s="19"/>
      <c r="AG52" s="19"/>
    </row>
    <row r="53" spans="2:33" hidden="1">
      <c r="B53" s="51" t="s">
        <v>9</v>
      </c>
      <c r="C53" s="5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1"/>
      <c r="AE53" s="21"/>
      <c r="AF53" s="19"/>
      <c r="AG53" s="19"/>
    </row>
    <row r="54" spans="2:33" hidden="1">
      <c r="B54" s="51" t="s">
        <v>10</v>
      </c>
      <c r="C54" s="52"/>
      <c r="D54" s="2"/>
      <c r="E54" s="2"/>
      <c r="F54" s="2">
        <v>-10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1"/>
      <c r="AE54" s="21"/>
      <c r="AF54" s="19"/>
      <c r="AG54" s="19"/>
    </row>
    <row r="55" spans="2:33" hidden="1">
      <c r="B55" s="51" t="s">
        <v>11</v>
      </c>
      <c r="C55" s="52"/>
      <c r="D55" s="2"/>
      <c r="E55" s="2"/>
      <c r="F55" s="2">
        <v>351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1792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1"/>
      <c r="AE55" s="21"/>
      <c r="AF55" s="19"/>
      <c r="AG55" s="19"/>
    </row>
    <row r="56" spans="2:33" hidden="1">
      <c r="B56" s="51" t="s">
        <v>17</v>
      </c>
      <c r="C56" s="52"/>
      <c r="D56" s="2"/>
      <c r="E56" s="2"/>
      <c r="F56" s="2">
        <v>156150</v>
      </c>
      <c r="G56" s="2">
        <v>156150</v>
      </c>
      <c r="H56" s="2">
        <v>156150</v>
      </c>
      <c r="I56" s="2">
        <v>156150</v>
      </c>
      <c r="J56" s="2">
        <v>156150</v>
      </c>
      <c r="K56" s="2">
        <v>156150</v>
      </c>
      <c r="L56" s="2">
        <v>156150</v>
      </c>
      <c r="M56" s="2">
        <v>156150</v>
      </c>
      <c r="N56" s="2">
        <v>156150</v>
      </c>
      <c r="O56" s="2">
        <v>156150</v>
      </c>
      <c r="P56" s="2">
        <v>156150</v>
      </c>
      <c r="Q56" s="2">
        <v>156150</v>
      </c>
      <c r="R56" s="2">
        <v>156150</v>
      </c>
      <c r="S56" s="2">
        <v>156150</v>
      </c>
      <c r="T56" s="2">
        <v>156150</v>
      </c>
      <c r="U56" s="2">
        <v>156150</v>
      </c>
      <c r="V56" s="2">
        <v>156150</v>
      </c>
      <c r="W56" s="2">
        <v>156150</v>
      </c>
      <c r="X56" s="2">
        <v>156150</v>
      </c>
      <c r="Y56" s="2">
        <v>156150</v>
      </c>
      <c r="Z56" s="2">
        <v>0</v>
      </c>
      <c r="AA56" s="2">
        <v>0</v>
      </c>
      <c r="AB56" s="2"/>
      <c r="AC56" s="2"/>
      <c r="AD56" s="21"/>
      <c r="AE56" s="21"/>
      <c r="AF56" s="19"/>
      <c r="AG56" s="19"/>
    </row>
    <row r="57" spans="2:33">
      <c r="B57" s="56" t="s">
        <v>19</v>
      </c>
      <c r="C57" s="53"/>
      <c r="D57" s="33">
        <v>10829169.880000001</v>
      </c>
      <c r="E57" s="33">
        <f>1640975.89+2975186.97+988391.8</f>
        <v>5604554.6600000001</v>
      </c>
      <c r="F57" s="33">
        <f t="shared" ref="F57:G57" si="13">SUM(F59:F63)</f>
        <v>6197764.7700000005</v>
      </c>
      <c r="G57" s="33">
        <f t="shared" si="13"/>
        <v>3749667.49</v>
      </c>
      <c r="H57" s="33">
        <f t="shared" ref="H57:AE57" si="14">SUM(H59:H63)</f>
        <v>6852948.2799999993</v>
      </c>
      <c r="I57" s="33">
        <f t="shared" si="14"/>
        <v>3749667.49</v>
      </c>
      <c r="J57" s="33">
        <f t="shared" si="14"/>
        <v>5929212.6499999994</v>
      </c>
      <c r="K57" s="33">
        <f t="shared" si="14"/>
        <v>2974471.0500000003</v>
      </c>
      <c r="L57" s="33">
        <f t="shared" si="14"/>
        <v>7559967.5599999996</v>
      </c>
      <c r="M57" s="33">
        <f t="shared" si="14"/>
        <v>2974471.0500000003</v>
      </c>
      <c r="N57" s="33">
        <f t="shared" si="14"/>
        <v>6930316.6799999997</v>
      </c>
      <c r="O57" s="33">
        <f t="shared" si="14"/>
        <v>4894294.6399999997</v>
      </c>
      <c r="P57" s="33">
        <f t="shared" si="14"/>
        <v>7219255.4799999995</v>
      </c>
      <c r="Q57" s="33">
        <f t="shared" si="14"/>
        <v>4894294.6399999997</v>
      </c>
      <c r="R57" s="33">
        <f t="shared" si="14"/>
        <v>9600917.8499999996</v>
      </c>
      <c r="S57" s="33">
        <f t="shared" si="14"/>
        <v>4651292.82</v>
      </c>
      <c r="T57" s="33">
        <f t="shared" si="14"/>
        <v>8525632.5199999996</v>
      </c>
      <c r="U57" s="33">
        <f t="shared" si="14"/>
        <v>4005766.16</v>
      </c>
      <c r="V57" s="33">
        <f t="shared" si="14"/>
        <v>10599393.380000001</v>
      </c>
      <c r="W57" s="33">
        <f t="shared" si="14"/>
        <v>1496363.55</v>
      </c>
      <c r="X57" s="33">
        <f t="shared" si="14"/>
        <v>20377243.73</v>
      </c>
      <c r="Y57" s="33">
        <f t="shared" si="14"/>
        <v>1496363.55</v>
      </c>
      <c r="Z57" s="33">
        <f t="shared" si="14"/>
        <v>20412653.610000003</v>
      </c>
      <c r="AA57" s="33">
        <f t="shared" si="14"/>
        <v>13308419.82</v>
      </c>
      <c r="AB57" s="33">
        <f t="shared" si="14"/>
        <v>8091227.3499999996</v>
      </c>
      <c r="AC57" s="33">
        <f t="shared" si="14"/>
        <v>426532.05</v>
      </c>
      <c r="AD57" s="33">
        <f t="shared" si="14"/>
        <v>13374920.809999999</v>
      </c>
      <c r="AE57" s="33">
        <f t="shared" si="14"/>
        <v>2237074.85</v>
      </c>
      <c r="AF57" s="50">
        <f>AD57/AB57-1</f>
        <v>0.65301507811419968</v>
      </c>
      <c r="AG57" s="50">
        <f>AE57/AC57-1</f>
        <v>4.2447989547327101</v>
      </c>
    </row>
    <row r="58" spans="2:33">
      <c r="B58" s="54"/>
      <c r="C58" s="5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59"/>
      <c r="AE58" s="59"/>
      <c r="AF58" s="32"/>
      <c r="AG58" s="32"/>
    </row>
    <row r="59" spans="2:33" ht="42.6" customHeight="1">
      <c r="B59" s="51" t="s">
        <v>12</v>
      </c>
      <c r="C59" s="52"/>
      <c r="D59" s="1"/>
      <c r="E59" s="1"/>
      <c r="F59" s="1">
        <v>6195284.0800000001</v>
      </c>
      <c r="G59" s="1">
        <f>3363056.56+386610.93</f>
        <v>3749667.49</v>
      </c>
      <c r="H59" s="1">
        <f>2263909.36+4559378.25</f>
        <v>6823287.6099999994</v>
      </c>
      <c r="I59" s="1">
        <f>386610.93+3363056.56</f>
        <v>3749667.49</v>
      </c>
      <c r="J59" s="1">
        <f>1799893.76+4099496.79</f>
        <v>5899390.5499999998</v>
      </c>
      <c r="K59" s="1">
        <f>386610.93+2587860.12</f>
        <v>2974471.0500000003</v>
      </c>
      <c r="L59" s="1">
        <f>5416106.16+2141154.26+1386.18+1320.96</f>
        <v>7559967.5599999996</v>
      </c>
      <c r="M59" s="1">
        <f>2587860.12+386610.93</f>
        <v>2974471.0500000003</v>
      </c>
      <c r="N59" s="1">
        <v>6930316.6799999997</v>
      </c>
      <c r="O59" s="1">
        <v>4894294.6399999997</v>
      </c>
      <c r="P59" s="1">
        <f>1865798.47+5348998.75</f>
        <v>7214797.2199999997</v>
      </c>
      <c r="Q59" s="1">
        <f>386610.93+4507683.71</f>
        <v>4894294.6399999997</v>
      </c>
      <c r="R59" s="1">
        <v>9600917.8499999996</v>
      </c>
      <c r="S59" s="1">
        <v>4651292.82</v>
      </c>
      <c r="T59" s="1">
        <f>2951333.92+5555295.68+15251.76+3751.16</f>
        <v>8525632.5199999996</v>
      </c>
      <c r="U59" s="1">
        <f>3619155.23+386610.93</f>
        <v>4005766.16</v>
      </c>
      <c r="V59" s="1">
        <f>1992205.58+8591549.02+5323.15+10315.63</f>
        <v>10599393.380000001</v>
      </c>
      <c r="W59" s="1">
        <f>1109752.62+386610.93</f>
        <v>1496363.55</v>
      </c>
      <c r="X59" s="1">
        <f>10545735.23+9823125.67+3422.46+4960.37</f>
        <v>20377243.73</v>
      </c>
      <c r="Y59" s="1">
        <f>386610.93+1109752.62</f>
        <v>1496363.55</v>
      </c>
      <c r="Z59" s="1">
        <v>20441640.960000001</v>
      </c>
      <c r="AA59" s="1">
        <v>13308419.82</v>
      </c>
      <c r="AB59" s="1">
        <f>7629239.68+462054.67</f>
        <v>8091294.3499999996</v>
      </c>
      <c r="AC59" s="1">
        <f>43720.99+382811.06</f>
        <v>426532.05</v>
      </c>
      <c r="AD59" s="26">
        <v>12369182.57</v>
      </c>
      <c r="AE59" s="26">
        <v>2237074.85</v>
      </c>
      <c r="AF59" s="16"/>
      <c r="AG59" s="16"/>
    </row>
    <row r="60" spans="2:33" ht="16.2" customHeight="1">
      <c r="B60" s="51" t="s">
        <v>9</v>
      </c>
      <c r="C60" s="5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6">
        <v>587474.67000000004</v>
      </c>
      <c r="AE60" s="26"/>
      <c r="AF60" s="16"/>
      <c r="AG60" s="16"/>
    </row>
    <row r="61" spans="2:33" ht="43.8" customHeight="1">
      <c r="B61" s="51" t="s">
        <v>10</v>
      </c>
      <c r="C61" s="52"/>
      <c r="D61" s="1"/>
      <c r="E61" s="1"/>
      <c r="F61" s="1"/>
      <c r="G61" s="1"/>
      <c r="H61" s="1">
        <v>-0.01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6">
        <v>146988.70000000001</v>
      </c>
      <c r="AE61" s="26"/>
      <c r="AF61" s="16"/>
      <c r="AG61" s="16"/>
    </row>
    <row r="62" spans="2:33" ht="27" customHeight="1">
      <c r="B62" s="51" t="s">
        <v>11</v>
      </c>
      <c r="C62" s="52"/>
      <c r="D62" s="1"/>
      <c r="E62" s="1"/>
      <c r="F62" s="1"/>
      <c r="G62" s="1"/>
      <c r="H62" s="1">
        <v>-67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>
        <v>-94199.79</v>
      </c>
      <c r="AA62" s="1"/>
      <c r="AB62" s="1">
        <v>-67</v>
      </c>
      <c r="AC62" s="1"/>
      <c r="AD62" s="26">
        <v>271224.87</v>
      </c>
      <c r="AE62" s="26"/>
      <c r="AF62" s="16"/>
      <c r="AG62" s="16"/>
    </row>
    <row r="63" spans="2:33" ht="15" customHeight="1">
      <c r="B63" s="51" t="s">
        <v>17</v>
      </c>
      <c r="C63" s="52"/>
      <c r="D63" s="1"/>
      <c r="E63" s="1"/>
      <c r="F63" s="1">
        <v>2480.69</v>
      </c>
      <c r="G63" s="1"/>
      <c r="H63" s="1">
        <f>10138.57+19589.11</f>
        <v>29727.68</v>
      </c>
      <c r="I63" s="1"/>
      <c r="J63" s="1">
        <f>14183.88+15638.22</f>
        <v>29822.1</v>
      </c>
      <c r="K63" s="1"/>
      <c r="L63" s="1"/>
      <c r="M63" s="1"/>
      <c r="N63" s="1"/>
      <c r="O63" s="1"/>
      <c r="P63" s="1">
        <v>4458.26</v>
      </c>
      <c r="Q63" s="1"/>
      <c r="R63" s="1"/>
      <c r="S63" s="1"/>
      <c r="T63" s="1"/>
      <c r="U63" s="1"/>
      <c r="V63" s="1"/>
      <c r="W63" s="1"/>
      <c r="X63" s="1"/>
      <c r="Y63" s="1"/>
      <c r="Z63" s="1">
        <v>65212.44</v>
      </c>
      <c r="AA63" s="1"/>
      <c r="AB63" s="1"/>
      <c r="AC63" s="1"/>
      <c r="AD63" s="26">
        <v>50</v>
      </c>
      <c r="AE63" s="26"/>
      <c r="AF63" s="16"/>
      <c r="AG63" s="16"/>
    </row>
    <row r="64" spans="2:33">
      <c r="B64" s="56" t="s">
        <v>16</v>
      </c>
      <c r="C64" s="53"/>
      <c r="D64" s="31">
        <v>-1470.89</v>
      </c>
      <c r="E64" s="31">
        <f t="shared" ref="E64" si="15">SUM(E66:E70)</f>
        <v>0</v>
      </c>
      <c r="F64" s="31">
        <f t="shared" ref="F64:AE64" si="16">SUM(F66:F70)</f>
        <v>741.25</v>
      </c>
      <c r="G64" s="31">
        <f t="shared" si="16"/>
        <v>0</v>
      </c>
      <c r="H64" s="31">
        <f t="shared" si="16"/>
        <v>0</v>
      </c>
      <c r="I64" s="31">
        <f t="shared" si="16"/>
        <v>0</v>
      </c>
      <c r="J64" s="31">
        <f t="shared" si="16"/>
        <v>0</v>
      </c>
      <c r="K64" s="31">
        <f t="shared" si="16"/>
        <v>0</v>
      </c>
      <c r="L64" s="31">
        <f t="shared" si="16"/>
        <v>0</v>
      </c>
      <c r="M64" s="31">
        <f t="shared" si="16"/>
        <v>0</v>
      </c>
      <c r="N64" s="31">
        <f t="shared" si="16"/>
        <v>0</v>
      </c>
      <c r="O64" s="31">
        <f t="shared" si="16"/>
        <v>0</v>
      </c>
      <c r="P64" s="31">
        <f t="shared" si="16"/>
        <v>0</v>
      </c>
      <c r="Q64" s="31">
        <f t="shared" si="16"/>
        <v>0</v>
      </c>
      <c r="R64" s="31">
        <f t="shared" si="16"/>
        <v>0</v>
      </c>
      <c r="S64" s="31">
        <f t="shared" si="16"/>
        <v>0</v>
      </c>
      <c r="T64" s="31">
        <f t="shared" si="16"/>
        <v>0</v>
      </c>
      <c r="U64" s="31">
        <f t="shared" si="16"/>
        <v>0</v>
      </c>
      <c r="V64" s="31">
        <f t="shared" si="16"/>
        <v>0</v>
      </c>
      <c r="W64" s="31">
        <f t="shared" si="16"/>
        <v>0</v>
      </c>
      <c r="X64" s="31">
        <f t="shared" si="16"/>
        <v>0</v>
      </c>
      <c r="Y64" s="31">
        <f t="shared" si="16"/>
        <v>0</v>
      </c>
      <c r="Z64" s="31">
        <f t="shared" si="16"/>
        <v>0</v>
      </c>
      <c r="AA64" s="31">
        <f t="shared" si="16"/>
        <v>0</v>
      </c>
      <c r="AB64" s="31">
        <f t="shared" si="16"/>
        <v>0</v>
      </c>
      <c r="AC64" s="31">
        <f t="shared" si="16"/>
        <v>0</v>
      </c>
      <c r="AD64" s="31">
        <f>AD66+AD67+AD68+AD69+AD70</f>
        <v>74896.740000000005</v>
      </c>
      <c r="AE64" s="31">
        <f t="shared" si="16"/>
        <v>0</v>
      </c>
      <c r="AF64" s="50">
        <v>1</v>
      </c>
      <c r="AG64" s="50">
        <v>0</v>
      </c>
    </row>
    <row r="65" spans="2:33">
      <c r="B65" s="54"/>
      <c r="C65" s="5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59"/>
      <c r="AE65" s="59"/>
      <c r="AF65" s="32"/>
      <c r="AG65" s="32"/>
    </row>
    <row r="66" spans="2:33" ht="43.2" customHeight="1">
      <c r="B66" s="51" t="s">
        <v>12</v>
      </c>
      <c r="C66" s="52"/>
      <c r="D66" s="2"/>
      <c r="E66" s="2"/>
      <c r="F66" s="2">
        <v>741.25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4"/>
      <c r="AE66" s="24"/>
      <c r="AF66" s="19"/>
      <c r="AG66" s="19"/>
    </row>
    <row r="67" spans="2:33" ht="16.8" customHeight="1">
      <c r="B67" s="51" t="s">
        <v>9</v>
      </c>
      <c r="C67" s="52"/>
      <c r="D67" s="2"/>
      <c r="E67" s="2"/>
      <c r="F67" s="2">
        <v>0</v>
      </c>
      <c r="G67" s="2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4">
        <v>51493.65</v>
      </c>
      <c r="AE67" s="24"/>
      <c r="AF67" s="19"/>
      <c r="AG67" s="19"/>
    </row>
    <row r="68" spans="2:33" ht="43.8" customHeight="1">
      <c r="B68" s="51" t="s">
        <v>10</v>
      </c>
      <c r="C68" s="52"/>
      <c r="D68" s="2"/>
      <c r="E68" s="2"/>
      <c r="F68" s="2">
        <v>0</v>
      </c>
      <c r="G68" s="2"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4">
        <v>23403.09</v>
      </c>
      <c r="AE68" s="24"/>
      <c r="AF68" s="19"/>
      <c r="AG68" s="19"/>
    </row>
    <row r="69" spans="2:33" ht="27" customHeight="1">
      <c r="B69" s="51" t="s">
        <v>11</v>
      </c>
      <c r="C69" s="5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1"/>
      <c r="AE69" s="21"/>
      <c r="AF69" s="19"/>
      <c r="AG69" s="19"/>
    </row>
    <row r="70" spans="2:33" ht="14.4" customHeight="1">
      <c r="B70" s="51" t="s">
        <v>17</v>
      </c>
      <c r="C70" s="5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1"/>
      <c r="AE70" s="21"/>
      <c r="AF70" s="19"/>
      <c r="AG70" s="19"/>
    </row>
    <row r="71" spans="2:33" ht="57.6">
      <c r="B71" s="14" t="s">
        <v>26</v>
      </c>
      <c r="C71" s="14"/>
      <c r="D71" s="17">
        <v>3090165.46</v>
      </c>
      <c r="E71" s="17">
        <v>3090165.46</v>
      </c>
      <c r="F71" s="17">
        <f>SUM(F72:F74)</f>
        <v>0</v>
      </c>
      <c r="G71" s="17">
        <f>SUM(G72:G74)</f>
        <v>0</v>
      </c>
      <c r="H71" s="17">
        <f t="shared" ref="H71:AC71" si="17">SUM(H72:H74)</f>
        <v>0</v>
      </c>
      <c r="I71" s="17">
        <f t="shared" si="17"/>
        <v>0</v>
      </c>
      <c r="J71" s="17">
        <f t="shared" si="17"/>
        <v>0</v>
      </c>
      <c r="K71" s="17">
        <f t="shared" si="17"/>
        <v>0</v>
      </c>
      <c r="L71" s="17">
        <f t="shared" si="17"/>
        <v>0</v>
      </c>
      <c r="M71" s="17">
        <f t="shared" si="17"/>
        <v>0</v>
      </c>
      <c r="N71" s="17">
        <f t="shared" si="17"/>
        <v>0</v>
      </c>
      <c r="O71" s="17">
        <f t="shared" si="17"/>
        <v>0</v>
      </c>
      <c r="P71" s="17">
        <f t="shared" si="17"/>
        <v>0</v>
      </c>
      <c r="Q71" s="17">
        <f t="shared" si="17"/>
        <v>0</v>
      </c>
      <c r="R71" s="17">
        <f t="shared" si="17"/>
        <v>0</v>
      </c>
      <c r="S71" s="17">
        <f t="shared" si="17"/>
        <v>0</v>
      </c>
      <c r="T71" s="17">
        <f t="shared" si="17"/>
        <v>0</v>
      </c>
      <c r="U71" s="17">
        <f t="shared" si="17"/>
        <v>0</v>
      </c>
      <c r="V71" s="17">
        <f t="shared" si="17"/>
        <v>0</v>
      </c>
      <c r="W71" s="17">
        <f t="shared" si="17"/>
        <v>0</v>
      </c>
      <c r="X71" s="17">
        <f t="shared" si="17"/>
        <v>0</v>
      </c>
      <c r="Y71" s="17">
        <f t="shared" si="17"/>
        <v>0</v>
      </c>
      <c r="Z71" s="17">
        <f t="shared" si="17"/>
        <v>0</v>
      </c>
      <c r="AA71" s="17">
        <f t="shared" si="17"/>
        <v>0</v>
      </c>
      <c r="AB71" s="17">
        <f t="shared" si="17"/>
        <v>0</v>
      </c>
      <c r="AC71" s="17">
        <f t="shared" si="17"/>
        <v>0</v>
      </c>
      <c r="AD71" s="22"/>
      <c r="AE71" s="22"/>
      <c r="AF71" s="50">
        <v>0</v>
      </c>
      <c r="AG71" s="50">
        <v>0</v>
      </c>
    </row>
    <row r="72" spans="2:33">
      <c r="B72" s="51" t="s">
        <v>11</v>
      </c>
      <c r="C72" s="57"/>
      <c r="D72" s="2"/>
      <c r="E72" s="2"/>
      <c r="F72" s="2"/>
      <c r="G72" s="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21"/>
      <c r="AE72" s="21"/>
      <c r="AF72" s="32"/>
      <c r="AG72" s="32"/>
    </row>
    <row r="73" spans="2:33" s="12" customFormat="1">
      <c r="B73" s="58" t="s">
        <v>25</v>
      </c>
      <c r="C73" s="57"/>
      <c r="D73" s="17">
        <f>4008760.53+5844431.63+14283.75+179317.37</f>
        <v>10046793.279999999</v>
      </c>
      <c r="E73" s="17">
        <f>989699.04+1910943.77</f>
        <v>2900642.81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23"/>
      <c r="AE73" s="23"/>
      <c r="AF73" s="11"/>
      <c r="AG73" s="11"/>
    </row>
    <row r="74" spans="2:33">
      <c r="B74" s="15"/>
      <c r="C74" s="1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1"/>
      <c r="AE74" s="21"/>
      <c r="AF74" s="19"/>
      <c r="AG74" s="19"/>
    </row>
    <row r="75" spans="2:33" s="4" customFormat="1">
      <c r="B75" s="58" t="s">
        <v>13</v>
      </c>
      <c r="C75" s="57"/>
      <c r="D75" s="18">
        <f>D8+D15+D22+D29+D36+D43+D50+D57+D64+D71+D73</f>
        <v>94587677.819999993</v>
      </c>
      <c r="E75" s="18">
        <f>E8+E15+E22+E29+E36+E43+E50+E57+E64+E71+E73</f>
        <v>68008770.719999999</v>
      </c>
      <c r="F75" s="18">
        <f>F8+F15+F22+F29+F36+F43+F50+F57+F64+F71</f>
        <v>85864729.75999999</v>
      </c>
      <c r="G75" s="18">
        <f>G8+G15+G22+G29+G36+G43+G50+G57+G64+G71</f>
        <v>66510808.209999993</v>
      </c>
      <c r="H75" s="18">
        <f t="shared" ref="H75:Z75" si="18">H8+H15+H22+H29+H36+H43+H50+H57+H64+H71</f>
        <v>93511066.090000018</v>
      </c>
      <c r="I75" s="18">
        <f t="shared" si="18"/>
        <v>66963948.660000004</v>
      </c>
      <c r="J75" s="18">
        <f t="shared" si="18"/>
        <v>92440148.88000001</v>
      </c>
      <c r="K75" s="18">
        <f t="shared" si="18"/>
        <v>69371696.100000009</v>
      </c>
      <c r="L75" s="18">
        <f t="shared" si="18"/>
        <v>93692017.959999993</v>
      </c>
      <c r="M75" s="18">
        <f t="shared" si="18"/>
        <v>72494645.030000001</v>
      </c>
      <c r="N75" s="18">
        <f t="shared" si="18"/>
        <v>95350288.340000004</v>
      </c>
      <c r="O75" s="18">
        <f t="shared" si="18"/>
        <v>74699098.340000004</v>
      </c>
      <c r="P75" s="18">
        <f t="shared" si="18"/>
        <v>92952938.269999996</v>
      </c>
      <c r="Q75" s="18">
        <f t="shared" si="18"/>
        <v>82357876.220000014</v>
      </c>
      <c r="R75" s="18">
        <f t="shared" si="18"/>
        <v>97449531.209999979</v>
      </c>
      <c r="S75" s="18">
        <f t="shared" si="18"/>
        <v>74441297.569999993</v>
      </c>
      <c r="T75" s="18">
        <f t="shared" si="18"/>
        <v>96755275.489999995</v>
      </c>
      <c r="U75" s="18">
        <f t="shared" si="18"/>
        <v>74719949.890000001</v>
      </c>
      <c r="V75" s="18">
        <f t="shared" si="18"/>
        <v>97352731.719999984</v>
      </c>
      <c r="W75" s="18">
        <f t="shared" si="18"/>
        <v>74918061.669999987</v>
      </c>
      <c r="X75" s="18">
        <f t="shared" si="18"/>
        <v>103431682.53</v>
      </c>
      <c r="Y75" s="18">
        <f t="shared" si="18"/>
        <v>71550048.36999999</v>
      </c>
      <c r="Z75" s="18">
        <f t="shared" si="18"/>
        <v>139512827.16999999</v>
      </c>
      <c r="AA75" s="18">
        <f>AA8+AA15+AA22+AA29+AA36+AA43+AA50+AA57+AA64+AA71</f>
        <v>116277638.82999998</v>
      </c>
      <c r="AB75" s="18">
        <f t="shared" ref="AB75:AE75" si="19">AB8+AB15+AB22+AB29+AB36+AB43+AB50+AB57+AB64+AB71</f>
        <v>91678410.280000001</v>
      </c>
      <c r="AC75" s="18">
        <f t="shared" si="19"/>
        <v>71432870.559999987</v>
      </c>
      <c r="AD75" s="18">
        <f t="shared" si="19"/>
        <v>88498733.75</v>
      </c>
      <c r="AE75" s="18">
        <f t="shared" si="19"/>
        <v>26248673.320000004</v>
      </c>
      <c r="AF75" s="3">
        <f>AD75/AB75-1</f>
        <v>-3.4682937021800253E-2</v>
      </c>
      <c r="AG75" s="3">
        <f>AE75/AC75-1</f>
        <v>-0.63254069010215053</v>
      </c>
    </row>
    <row r="76" spans="2:33" ht="40.799999999999997" customHeight="1">
      <c r="B76" s="51" t="s">
        <v>12</v>
      </c>
      <c r="C76" s="57"/>
      <c r="D76" s="2">
        <f t="shared" ref="D76:AE80" si="20">D10+D17+D24+D31+D38+D45+D52+D59+D66</f>
        <v>0</v>
      </c>
      <c r="E76" s="2">
        <f t="shared" si="20"/>
        <v>0</v>
      </c>
      <c r="F76" s="2">
        <f t="shared" si="20"/>
        <v>17953226.410000004</v>
      </c>
      <c r="G76" s="2">
        <f t="shared" si="20"/>
        <v>6382951.8399999943</v>
      </c>
      <c r="H76" s="2">
        <f t="shared" si="20"/>
        <v>19216097.170000002</v>
      </c>
      <c r="I76" s="2">
        <f t="shared" si="20"/>
        <v>6555841.7200000007</v>
      </c>
      <c r="J76" s="2">
        <f t="shared" si="20"/>
        <v>22865503.460000001</v>
      </c>
      <c r="K76" s="2">
        <f t="shared" si="20"/>
        <v>5864947.9199999999</v>
      </c>
      <c r="L76" s="2">
        <f t="shared" si="20"/>
        <v>17090632.079999998</v>
      </c>
      <c r="M76" s="2">
        <f t="shared" si="20"/>
        <v>5837825.0099999998</v>
      </c>
      <c r="N76" s="2">
        <f t="shared" si="20"/>
        <v>16099291.18</v>
      </c>
      <c r="O76" s="2">
        <f t="shared" si="20"/>
        <v>7784857.7199999997</v>
      </c>
      <c r="P76" s="2">
        <f t="shared" si="20"/>
        <v>16094244.300000001</v>
      </c>
      <c r="Q76" s="2">
        <f t="shared" si="20"/>
        <v>7902977.2199999997</v>
      </c>
      <c r="R76" s="2">
        <f t="shared" si="20"/>
        <v>20791692.359999999</v>
      </c>
      <c r="S76" s="2">
        <f t="shared" si="20"/>
        <v>7175180.9199999999</v>
      </c>
      <c r="T76" s="2">
        <f t="shared" si="20"/>
        <v>20070445.379999999</v>
      </c>
      <c r="U76" s="2">
        <f t="shared" si="20"/>
        <v>6987489.4900000002</v>
      </c>
      <c r="V76" s="2">
        <f t="shared" si="20"/>
        <v>24410984.270000003</v>
      </c>
      <c r="W76" s="2">
        <f t="shared" si="20"/>
        <v>4182653.4699999997</v>
      </c>
      <c r="X76" s="2">
        <f t="shared" si="20"/>
        <v>34358661.780000001</v>
      </c>
      <c r="Y76" s="2">
        <f t="shared" si="20"/>
        <v>4756662.17</v>
      </c>
      <c r="Z76" s="2">
        <f t="shared" si="20"/>
        <v>37550191.880000003</v>
      </c>
      <c r="AA76" s="2">
        <f t="shared" si="20"/>
        <v>19969076.690000001</v>
      </c>
      <c r="AB76" s="2">
        <f t="shared" si="20"/>
        <v>19131225.359999999</v>
      </c>
      <c r="AC76" s="2">
        <f t="shared" si="20"/>
        <v>2260154.08</v>
      </c>
      <c r="AD76" s="24">
        <f t="shared" si="20"/>
        <v>26509456.189999998</v>
      </c>
      <c r="AE76" s="24">
        <f t="shared" si="20"/>
        <v>4688531.2</v>
      </c>
      <c r="AF76" s="3"/>
      <c r="AG76" s="3"/>
    </row>
    <row r="77" spans="2:33" ht="21.6" customHeight="1">
      <c r="B77" s="51" t="s">
        <v>9</v>
      </c>
      <c r="C77" s="57"/>
      <c r="D77" s="2">
        <f t="shared" si="20"/>
        <v>0</v>
      </c>
      <c r="E77" s="2">
        <f t="shared" si="20"/>
        <v>0</v>
      </c>
      <c r="F77" s="2">
        <f t="shared" si="20"/>
        <v>0</v>
      </c>
      <c r="G77" s="2">
        <f t="shared" si="20"/>
        <v>0</v>
      </c>
      <c r="H77" s="2">
        <f t="shared" si="20"/>
        <v>1611249.67</v>
      </c>
      <c r="I77" s="2">
        <f t="shared" si="20"/>
        <v>0</v>
      </c>
      <c r="J77" s="2">
        <f t="shared" si="20"/>
        <v>1404831.87</v>
      </c>
      <c r="K77" s="2">
        <f t="shared" si="20"/>
        <v>0</v>
      </c>
      <c r="L77" s="2">
        <f t="shared" si="20"/>
        <v>2089553.3599999999</v>
      </c>
      <c r="M77" s="2">
        <f t="shared" si="20"/>
        <v>0</v>
      </c>
      <c r="N77" s="2">
        <f t="shared" si="20"/>
        <v>1291836.76</v>
      </c>
      <c r="O77" s="2">
        <f t="shared" si="20"/>
        <v>0</v>
      </c>
      <c r="P77" s="2">
        <f t="shared" si="20"/>
        <v>1343049.24</v>
      </c>
      <c r="Q77" s="2">
        <f t="shared" si="20"/>
        <v>0</v>
      </c>
      <c r="R77" s="2">
        <f t="shared" si="20"/>
        <v>1452525.99</v>
      </c>
      <c r="S77" s="2">
        <f t="shared" si="20"/>
        <v>0</v>
      </c>
      <c r="T77" s="2">
        <f t="shared" si="20"/>
        <v>1242140.78</v>
      </c>
      <c r="U77" s="2">
        <f t="shared" si="20"/>
        <v>0</v>
      </c>
      <c r="V77" s="2">
        <f t="shared" si="20"/>
        <v>1196585.6499999999</v>
      </c>
      <c r="W77" s="2">
        <f t="shared" si="20"/>
        <v>0</v>
      </c>
      <c r="X77" s="2">
        <f t="shared" si="20"/>
        <v>1283435.7</v>
      </c>
      <c r="Y77" s="2">
        <f t="shared" si="20"/>
        <v>0</v>
      </c>
      <c r="Z77" s="2">
        <f t="shared" si="20"/>
        <v>0</v>
      </c>
      <c r="AA77" s="2">
        <f t="shared" si="20"/>
        <v>0</v>
      </c>
      <c r="AB77" s="2">
        <f t="shared" si="20"/>
        <v>0</v>
      </c>
      <c r="AC77" s="2">
        <f t="shared" si="20"/>
        <v>0</v>
      </c>
      <c r="AD77" s="24">
        <f t="shared" si="20"/>
        <v>30289816.089999996</v>
      </c>
      <c r="AE77" s="24">
        <f t="shared" si="20"/>
        <v>0</v>
      </c>
      <c r="AF77" s="3"/>
      <c r="AG77" s="3"/>
    </row>
    <row r="78" spans="2:33" ht="42.6" customHeight="1">
      <c r="B78" s="51" t="s">
        <v>10</v>
      </c>
      <c r="C78" s="57"/>
      <c r="D78" s="2">
        <f t="shared" si="20"/>
        <v>0</v>
      </c>
      <c r="E78" s="2">
        <f t="shared" si="20"/>
        <v>0</v>
      </c>
      <c r="F78" s="2">
        <f t="shared" si="20"/>
        <v>5781112.8999999994</v>
      </c>
      <c r="G78" s="2">
        <f t="shared" si="20"/>
        <v>0</v>
      </c>
      <c r="H78" s="2">
        <f t="shared" si="20"/>
        <v>841993.46</v>
      </c>
      <c r="I78" s="2">
        <f t="shared" si="20"/>
        <v>0</v>
      </c>
      <c r="J78" s="2">
        <f t="shared" si="20"/>
        <v>730672.66</v>
      </c>
      <c r="K78" s="2">
        <f t="shared" si="20"/>
        <v>0</v>
      </c>
      <c r="L78" s="2">
        <f t="shared" si="20"/>
        <v>907890.05999999994</v>
      </c>
      <c r="M78" s="2">
        <f t="shared" si="20"/>
        <v>0</v>
      </c>
      <c r="N78" s="2">
        <f t="shared" si="20"/>
        <v>596611.02</v>
      </c>
      <c r="O78" s="2">
        <f t="shared" si="20"/>
        <v>0</v>
      </c>
      <c r="P78" s="2">
        <f t="shared" si="20"/>
        <v>806056.14</v>
      </c>
      <c r="Q78" s="2">
        <f t="shared" si="20"/>
        <v>0</v>
      </c>
      <c r="R78" s="2">
        <f t="shared" si="20"/>
        <v>910579.46000000008</v>
      </c>
      <c r="S78" s="2">
        <f t="shared" si="20"/>
        <v>0</v>
      </c>
      <c r="T78" s="2">
        <f t="shared" si="20"/>
        <v>832315.84</v>
      </c>
      <c r="U78" s="2">
        <f t="shared" si="20"/>
        <v>0</v>
      </c>
      <c r="V78" s="2">
        <f t="shared" si="20"/>
        <v>786043.03</v>
      </c>
      <c r="W78" s="2">
        <f t="shared" si="20"/>
        <v>0</v>
      </c>
      <c r="X78" s="2">
        <f t="shared" si="20"/>
        <v>782576.37000000011</v>
      </c>
      <c r="Y78" s="2">
        <f t="shared" si="20"/>
        <v>0</v>
      </c>
      <c r="Z78" s="2">
        <f t="shared" si="20"/>
        <v>4770499.5100000007</v>
      </c>
      <c r="AA78" s="2">
        <f t="shared" si="20"/>
        <v>0</v>
      </c>
      <c r="AB78" s="2">
        <f t="shared" si="20"/>
        <v>968977.27</v>
      </c>
      <c r="AC78" s="2">
        <f t="shared" si="20"/>
        <v>0</v>
      </c>
      <c r="AD78" s="24">
        <f t="shared" si="20"/>
        <v>7155876.4700000007</v>
      </c>
      <c r="AE78" s="24">
        <f t="shared" si="20"/>
        <v>0</v>
      </c>
      <c r="AF78" s="3"/>
      <c r="AG78" s="3"/>
    </row>
    <row r="79" spans="2:33" ht="28.8" customHeight="1">
      <c r="B79" s="51" t="s">
        <v>11</v>
      </c>
      <c r="C79" s="57"/>
      <c r="D79" s="2">
        <f t="shared" ref="D79:AB79" si="21">D13+D20+D27+D34+D41+D48+D55+D62+D69+D72</f>
        <v>0</v>
      </c>
      <c r="E79" s="2">
        <f t="shared" si="21"/>
        <v>0</v>
      </c>
      <c r="F79" s="2">
        <f t="shared" si="21"/>
        <v>60461371.310000002</v>
      </c>
      <c r="G79" s="2">
        <f t="shared" si="21"/>
        <v>58245420.57</v>
      </c>
      <c r="H79" s="2">
        <f t="shared" si="21"/>
        <v>69929562.310000002</v>
      </c>
      <c r="I79" s="2">
        <f t="shared" si="21"/>
        <v>58525671.140000001</v>
      </c>
      <c r="J79" s="2">
        <f t="shared" si="21"/>
        <v>65526882.990000002</v>
      </c>
      <c r="K79" s="2">
        <f t="shared" si="21"/>
        <v>61624312.380000003</v>
      </c>
      <c r="L79" s="2">
        <f t="shared" si="21"/>
        <v>71721506.659999996</v>
      </c>
      <c r="M79" s="2">
        <f t="shared" si="21"/>
        <v>64774384.220000006</v>
      </c>
      <c r="N79" s="2">
        <f t="shared" si="21"/>
        <v>75480113.579999998</v>
      </c>
      <c r="O79" s="2">
        <f t="shared" si="21"/>
        <v>65031804.82</v>
      </c>
      <c r="P79" s="2">
        <f t="shared" si="21"/>
        <v>72791361.200000003</v>
      </c>
      <c r="Q79" s="2">
        <f t="shared" si="21"/>
        <v>72572463.200000003</v>
      </c>
      <c r="R79" s="2">
        <f t="shared" si="21"/>
        <v>72380297.609999999</v>
      </c>
      <c r="S79" s="2">
        <f t="shared" si="21"/>
        <v>65383680.850000001</v>
      </c>
      <c r="T79" s="2">
        <f t="shared" si="21"/>
        <v>72695876.399999991</v>
      </c>
      <c r="U79" s="2">
        <f t="shared" si="21"/>
        <v>65850024.600000001</v>
      </c>
      <c r="V79" s="2">
        <f t="shared" si="21"/>
        <v>69041659.049999997</v>
      </c>
      <c r="W79" s="2">
        <f t="shared" si="21"/>
        <v>68852972.399999991</v>
      </c>
      <c r="X79" s="2">
        <f t="shared" si="21"/>
        <v>65102023.400000006</v>
      </c>
      <c r="Y79" s="2">
        <f t="shared" si="21"/>
        <v>64910950.400000006</v>
      </c>
      <c r="Z79" s="2">
        <f t="shared" si="21"/>
        <v>66208215.299999997</v>
      </c>
      <c r="AA79" s="2">
        <f t="shared" si="21"/>
        <v>65394874.099999994</v>
      </c>
      <c r="AB79" s="2">
        <f t="shared" si="21"/>
        <v>44812598.799999997</v>
      </c>
      <c r="AC79" s="2">
        <f t="shared" si="20"/>
        <v>43003795.009999998</v>
      </c>
      <c r="AD79" s="24">
        <f t="shared" si="20"/>
        <v>21445973.470000003</v>
      </c>
      <c r="AE79" s="24">
        <f t="shared" si="20"/>
        <v>19284991.300000001</v>
      </c>
      <c r="AF79" s="3"/>
      <c r="AG79" s="3"/>
    </row>
    <row r="80" spans="2:33" ht="22.2" customHeight="1">
      <c r="B80" s="51" t="s">
        <v>17</v>
      </c>
      <c r="C80" s="57"/>
      <c r="D80" s="2">
        <f t="shared" ref="D80:E80" si="22">D14+D21+D28+D35+D42+D49+D56+D63+D70</f>
        <v>0</v>
      </c>
      <c r="E80" s="2">
        <f t="shared" si="22"/>
        <v>0</v>
      </c>
      <c r="F80" s="2">
        <f t="shared" si="20"/>
        <v>1669019.14</v>
      </c>
      <c r="G80" s="2">
        <f t="shared" si="20"/>
        <v>1882435.7999999998</v>
      </c>
      <c r="H80" s="2">
        <f t="shared" si="20"/>
        <v>1912163.48</v>
      </c>
      <c r="I80" s="2">
        <f t="shared" si="20"/>
        <v>1882435.8</v>
      </c>
      <c r="J80" s="2">
        <f t="shared" si="20"/>
        <v>1912257.9000000001</v>
      </c>
      <c r="K80" s="2">
        <f t="shared" si="20"/>
        <v>1882435.8</v>
      </c>
      <c r="L80" s="2">
        <f t="shared" si="20"/>
        <v>1882435.8</v>
      </c>
      <c r="M80" s="2">
        <f t="shared" si="20"/>
        <v>1882435.8</v>
      </c>
      <c r="N80" s="2">
        <f t="shared" si="20"/>
        <v>1882435.8</v>
      </c>
      <c r="O80" s="2">
        <f t="shared" si="20"/>
        <v>1882435.8</v>
      </c>
      <c r="P80" s="2">
        <f t="shared" si="20"/>
        <v>1918227.3900000001</v>
      </c>
      <c r="Q80" s="2">
        <f t="shared" si="20"/>
        <v>1882435.8</v>
      </c>
      <c r="R80" s="2">
        <f t="shared" si="20"/>
        <v>1914435.79</v>
      </c>
      <c r="S80" s="2">
        <f t="shared" si="20"/>
        <v>1882435.8</v>
      </c>
      <c r="T80" s="2">
        <f t="shared" si="20"/>
        <v>1914497.09</v>
      </c>
      <c r="U80" s="2">
        <f t="shared" si="20"/>
        <v>1882435.8</v>
      </c>
      <c r="V80" s="2">
        <f t="shared" si="20"/>
        <v>1917459.72</v>
      </c>
      <c r="W80" s="2">
        <f t="shared" si="20"/>
        <v>1882435.8</v>
      </c>
      <c r="X80" s="2">
        <f t="shared" si="20"/>
        <v>1904985.28</v>
      </c>
      <c r="Y80" s="2">
        <f t="shared" si="20"/>
        <v>1882435.8</v>
      </c>
      <c r="Z80" s="2">
        <f t="shared" si="20"/>
        <v>30983920.480000004</v>
      </c>
      <c r="AA80" s="2">
        <f t="shared" si="20"/>
        <v>30913688.039999999</v>
      </c>
      <c r="AB80" s="2">
        <f t="shared" si="20"/>
        <v>26765608.850000001</v>
      </c>
      <c r="AC80" s="2">
        <f t="shared" si="20"/>
        <v>26168921.469999999</v>
      </c>
      <c r="AD80" s="24">
        <f t="shared" si="20"/>
        <v>3097611.5300000003</v>
      </c>
      <c r="AE80" s="24">
        <f t="shared" si="20"/>
        <v>2275150.8199999998</v>
      </c>
      <c r="AF80" s="3"/>
      <c r="AG80" s="3"/>
    </row>
    <row r="81" spans="2:37" s="4" customFormat="1" ht="25.2" customHeight="1">
      <c r="B81" s="58" t="s">
        <v>21</v>
      </c>
      <c r="C81" s="57"/>
      <c r="D81" s="6">
        <v>19700824</v>
      </c>
      <c r="E81" s="6"/>
      <c r="F81" s="6">
        <v>30646350</v>
      </c>
      <c r="G81" s="6"/>
      <c r="H81" s="6">
        <v>30646350</v>
      </c>
      <c r="I81" s="6"/>
      <c r="J81" s="6">
        <v>30646350</v>
      </c>
      <c r="K81" s="6"/>
      <c r="L81" s="6">
        <v>30646350</v>
      </c>
      <c r="M81" s="6"/>
      <c r="N81" s="6">
        <v>30646350</v>
      </c>
      <c r="O81" s="6"/>
      <c r="P81" s="6">
        <v>30646350</v>
      </c>
      <c r="Q81" s="6"/>
      <c r="R81" s="6">
        <v>30646350</v>
      </c>
      <c r="S81" s="6"/>
      <c r="T81" s="6">
        <v>39646350</v>
      </c>
      <c r="U81" s="6"/>
      <c r="V81" s="6">
        <v>39646350</v>
      </c>
      <c r="W81" s="6"/>
      <c r="X81" s="6">
        <v>39646350</v>
      </c>
      <c r="Y81" s="6"/>
      <c r="Z81" s="6">
        <v>39592849</v>
      </c>
      <c r="AA81" s="6"/>
      <c r="AB81" s="6">
        <v>58064462</v>
      </c>
      <c r="AC81" s="6"/>
      <c r="AD81" s="6">
        <v>43908462</v>
      </c>
      <c r="AE81" s="29"/>
      <c r="AF81" s="3">
        <f>AD81/AB81-1</f>
        <v>-0.2437980050516958</v>
      </c>
      <c r="AG81" s="3"/>
      <c r="AK81" s="9"/>
    </row>
    <row r="82" spans="2:37" s="4" customFormat="1" ht="22.2" customHeight="1">
      <c r="B82" s="58" t="s">
        <v>22</v>
      </c>
      <c r="C82" s="57"/>
      <c r="D82" s="6">
        <f t="shared" ref="D82:AE82" si="23">D75+D81</f>
        <v>114288501.81999999</v>
      </c>
      <c r="E82" s="6">
        <f t="shared" si="23"/>
        <v>68008770.719999999</v>
      </c>
      <c r="F82" s="6">
        <f t="shared" si="23"/>
        <v>116511079.75999999</v>
      </c>
      <c r="G82" s="6">
        <f t="shared" si="23"/>
        <v>66510808.209999993</v>
      </c>
      <c r="H82" s="6">
        <f t="shared" si="23"/>
        <v>124157416.09000002</v>
      </c>
      <c r="I82" s="6">
        <f t="shared" si="23"/>
        <v>66963948.660000004</v>
      </c>
      <c r="J82" s="6">
        <f t="shared" si="23"/>
        <v>123086498.88000001</v>
      </c>
      <c r="K82" s="6">
        <f t="shared" si="23"/>
        <v>69371696.100000009</v>
      </c>
      <c r="L82" s="6">
        <f t="shared" si="23"/>
        <v>124338367.95999999</v>
      </c>
      <c r="M82" s="6">
        <f t="shared" si="23"/>
        <v>72494645.030000001</v>
      </c>
      <c r="N82" s="6">
        <f t="shared" si="23"/>
        <v>125996638.34</v>
      </c>
      <c r="O82" s="6">
        <f t="shared" si="23"/>
        <v>74699098.340000004</v>
      </c>
      <c r="P82" s="6">
        <f t="shared" si="23"/>
        <v>123599288.27</v>
      </c>
      <c r="Q82" s="6">
        <f t="shared" si="23"/>
        <v>82357876.220000014</v>
      </c>
      <c r="R82" s="6">
        <f t="shared" si="23"/>
        <v>128095881.20999998</v>
      </c>
      <c r="S82" s="6">
        <f t="shared" si="23"/>
        <v>74441297.569999993</v>
      </c>
      <c r="T82" s="6">
        <f t="shared" si="23"/>
        <v>136401625.49000001</v>
      </c>
      <c r="U82" s="6">
        <f t="shared" si="23"/>
        <v>74719949.890000001</v>
      </c>
      <c r="V82" s="6">
        <f t="shared" si="23"/>
        <v>136999081.71999997</v>
      </c>
      <c r="W82" s="6">
        <f t="shared" si="23"/>
        <v>74918061.669999987</v>
      </c>
      <c r="X82" s="6">
        <f t="shared" si="23"/>
        <v>143078032.53</v>
      </c>
      <c r="Y82" s="6">
        <f t="shared" si="23"/>
        <v>71550048.36999999</v>
      </c>
      <c r="Z82" s="6">
        <f t="shared" si="23"/>
        <v>179105676.16999999</v>
      </c>
      <c r="AA82" s="6">
        <f t="shared" si="23"/>
        <v>116277638.82999998</v>
      </c>
      <c r="AB82" s="6">
        <f t="shared" si="23"/>
        <v>149742872.28</v>
      </c>
      <c r="AC82" s="6">
        <f t="shared" si="23"/>
        <v>71432870.559999987</v>
      </c>
      <c r="AD82" s="6">
        <f t="shared" si="23"/>
        <v>132407195.75</v>
      </c>
      <c r="AE82" s="6">
        <f t="shared" si="23"/>
        <v>26248673.320000004</v>
      </c>
      <c r="AF82" s="3">
        <f>AD82/AB82-1</f>
        <v>-0.11576962740226127</v>
      </c>
      <c r="AG82" s="3">
        <f>AE82/AC82-1</f>
        <v>-0.63254069010215053</v>
      </c>
    </row>
    <row r="83" spans="2:37" ht="18.600000000000001" customHeight="1">
      <c r="B83" s="51" t="s">
        <v>23</v>
      </c>
      <c r="C83" s="57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25"/>
      <c r="AE83" s="25"/>
      <c r="AF83" s="8"/>
      <c r="AG83" s="8"/>
    </row>
    <row r="84" spans="2:37" ht="43.2" customHeight="1">
      <c r="B84" s="51" t="s">
        <v>28</v>
      </c>
      <c r="C84" s="57"/>
      <c r="D84" s="8">
        <v>102575991</v>
      </c>
      <c r="E84" s="8">
        <v>63430848.460000001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25"/>
      <c r="AE84" s="25"/>
      <c r="AF84" s="8"/>
      <c r="AG84" s="8"/>
    </row>
    <row r="85" spans="2:37" ht="58.8" customHeight="1">
      <c r="B85" s="51" t="s">
        <v>27</v>
      </c>
      <c r="C85" s="57"/>
      <c r="D85" s="8">
        <f>D82-D84</f>
        <v>11712510.819999993</v>
      </c>
      <c r="E85" s="8">
        <f>E82-E84</f>
        <v>4577922.2599999979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25"/>
      <c r="AE85" s="25"/>
      <c r="AF85" s="8"/>
      <c r="AG85" s="8"/>
    </row>
    <row r="86" spans="2:37" ht="42.6" customHeight="1">
      <c r="B86" s="51" t="s">
        <v>41</v>
      </c>
      <c r="C86" s="5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>
        <v>26168921.469999999</v>
      </c>
      <c r="AC86" s="8">
        <v>26168921.469999999</v>
      </c>
      <c r="AD86" s="27">
        <f>AD28</f>
        <v>2802698.1</v>
      </c>
      <c r="AE86" s="27">
        <f>AE28</f>
        <v>2275150.8199999998</v>
      </c>
      <c r="AF86" s="8"/>
      <c r="AG86" s="8"/>
    </row>
    <row r="87" spans="2:37">
      <c r="B87" s="7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2:37">
      <c r="B88" s="7"/>
      <c r="C88" s="7"/>
    </row>
  </sheetData>
  <mergeCells count="355">
    <mergeCell ref="C1:AF4"/>
    <mergeCell ref="B5:C7"/>
    <mergeCell ref="D5:E6"/>
    <mergeCell ref="F5:G6"/>
    <mergeCell ref="H5:I6"/>
    <mergeCell ref="J5:K6"/>
    <mergeCell ref="L5:M6"/>
    <mergeCell ref="N5:O6"/>
    <mergeCell ref="P5:Q6"/>
    <mergeCell ref="R5:S6"/>
    <mergeCell ref="AF5:AG6"/>
    <mergeCell ref="T5:U6"/>
    <mergeCell ref="V5:W6"/>
    <mergeCell ref="X5:Y6"/>
    <mergeCell ref="Z5:AA6"/>
    <mergeCell ref="AB5:AC6"/>
    <mergeCell ref="AD5:AE6"/>
    <mergeCell ref="AG8:AG9"/>
    <mergeCell ref="B10:C10"/>
    <mergeCell ref="B11:C11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B8:C9"/>
    <mergeCell ref="D8:D9"/>
    <mergeCell ref="E8:E9"/>
    <mergeCell ref="B12:C12"/>
    <mergeCell ref="B13:C13"/>
    <mergeCell ref="B14:C14"/>
    <mergeCell ref="B15:C16"/>
    <mergeCell ref="D15:D16"/>
    <mergeCell ref="E15:E16"/>
    <mergeCell ref="AD8:AD9"/>
    <mergeCell ref="AE8:AE9"/>
    <mergeCell ref="AF8:AF9"/>
    <mergeCell ref="F8:F9"/>
    <mergeCell ref="G8:G9"/>
    <mergeCell ref="H8:H9"/>
    <mergeCell ref="I8:I9"/>
    <mergeCell ref="J8:J9"/>
    <mergeCell ref="K8:K9"/>
    <mergeCell ref="AG15:AG16"/>
    <mergeCell ref="B17:C17"/>
    <mergeCell ref="B18:C18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F15:F16"/>
    <mergeCell ref="G15:G16"/>
    <mergeCell ref="H15:H16"/>
    <mergeCell ref="B19:C19"/>
    <mergeCell ref="B20:C20"/>
    <mergeCell ref="B21:C21"/>
    <mergeCell ref="B22:C23"/>
    <mergeCell ref="D22:D23"/>
    <mergeCell ref="E22:E23"/>
    <mergeCell ref="AD15:AD16"/>
    <mergeCell ref="AE15:AE16"/>
    <mergeCell ref="AF15:AF16"/>
    <mergeCell ref="I15:I16"/>
    <mergeCell ref="J15:J16"/>
    <mergeCell ref="K15:K16"/>
    <mergeCell ref="AG22:AG23"/>
    <mergeCell ref="B24:C24"/>
    <mergeCell ref="B25:C25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B26:C26"/>
    <mergeCell ref="B27:C27"/>
    <mergeCell ref="B28:C28"/>
    <mergeCell ref="B29:C30"/>
    <mergeCell ref="D29:D30"/>
    <mergeCell ref="E29:E30"/>
    <mergeCell ref="AD22:AD23"/>
    <mergeCell ref="AE22:AE23"/>
    <mergeCell ref="AF22:AF23"/>
    <mergeCell ref="I22:I23"/>
    <mergeCell ref="J22:J23"/>
    <mergeCell ref="K22:K23"/>
    <mergeCell ref="AG29:AG30"/>
    <mergeCell ref="B31:C31"/>
    <mergeCell ref="B32:C32"/>
    <mergeCell ref="X29:X30"/>
    <mergeCell ref="Y29:Y30"/>
    <mergeCell ref="Z29:Z30"/>
    <mergeCell ref="AA29:AA30"/>
    <mergeCell ref="AB29:AB30"/>
    <mergeCell ref="AC29:AC30"/>
    <mergeCell ref="R29:R30"/>
    <mergeCell ref="S29:S30"/>
    <mergeCell ref="T29:T30"/>
    <mergeCell ref="U29:U30"/>
    <mergeCell ref="V29:V30"/>
    <mergeCell ref="W29:W30"/>
    <mergeCell ref="L29:L30"/>
    <mergeCell ref="M29:M30"/>
    <mergeCell ref="N29:N30"/>
    <mergeCell ref="O29:O30"/>
    <mergeCell ref="P29:P30"/>
    <mergeCell ref="Q29:Q30"/>
    <mergeCell ref="F29:F30"/>
    <mergeCell ref="G29:G30"/>
    <mergeCell ref="H29:H30"/>
    <mergeCell ref="B33:C33"/>
    <mergeCell ref="B34:C34"/>
    <mergeCell ref="B35:C35"/>
    <mergeCell ref="B36:C37"/>
    <mergeCell ref="D36:D37"/>
    <mergeCell ref="E36:E37"/>
    <mergeCell ref="AD29:AD30"/>
    <mergeCell ref="AE29:AE30"/>
    <mergeCell ref="AF29:AF30"/>
    <mergeCell ref="I29:I30"/>
    <mergeCell ref="J29:J30"/>
    <mergeCell ref="K29:K30"/>
    <mergeCell ref="AG36:AG37"/>
    <mergeCell ref="B38:C38"/>
    <mergeCell ref="B39:C39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F36:F37"/>
    <mergeCell ref="G36:G37"/>
    <mergeCell ref="H36:H37"/>
    <mergeCell ref="B40:C40"/>
    <mergeCell ref="B41:C41"/>
    <mergeCell ref="B42:C42"/>
    <mergeCell ref="B43:C44"/>
    <mergeCell ref="D43:D44"/>
    <mergeCell ref="E43:E44"/>
    <mergeCell ref="AD36:AD37"/>
    <mergeCell ref="AE36:AE37"/>
    <mergeCell ref="AF36:AF37"/>
    <mergeCell ref="I36:I37"/>
    <mergeCell ref="J36:J37"/>
    <mergeCell ref="K36:K37"/>
    <mergeCell ref="AG43:AG44"/>
    <mergeCell ref="B45:C45"/>
    <mergeCell ref="B46:C46"/>
    <mergeCell ref="X43:X44"/>
    <mergeCell ref="Y43:Y44"/>
    <mergeCell ref="Z43:Z44"/>
    <mergeCell ref="AA43:AA44"/>
    <mergeCell ref="AB43:AB44"/>
    <mergeCell ref="AC43:AC44"/>
    <mergeCell ref="R43:R44"/>
    <mergeCell ref="S43:S44"/>
    <mergeCell ref="T43:T44"/>
    <mergeCell ref="U43:U44"/>
    <mergeCell ref="V43:V44"/>
    <mergeCell ref="W43:W44"/>
    <mergeCell ref="L43:L44"/>
    <mergeCell ref="M43:M44"/>
    <mergeCell ref="N43:N44"/>
    <mergeCell ref="O43:O44"/>
    <mergeCell ref="P43:P44"/>
    <mergeCell ref="Q43:Q44"/>
    <mergeCell ref="F43:F44"/>
    <mergeCell ref="G43:G44"/>
    <mergeCell ref="H43:H44"/>
    <mergeCell ref="B47:C47"/>
    <mergeCell ref="B48:C48"/>
    <mergeCell ref="B49:C49"/>
    <mergeCell ref="B50:C51"/>
    <mergeCell ref="D50:D51"/>
    <mergeCell ref="E50:E51"/>
    <mergeCell ref="AD43:AD44"/>
    <mergeCell ref="AE43:AE44"/>
    <mergeCell ref="AF43:AF44"/>
    <mergeCell ref="I43:I44"/>
    <mergeCell ref="J43:J44"/>
    <mergeCell ref="K43:K44"/>
    <mergeCell ref="L50:L51"/>
    <mergeCell ref="M50:M51"/>
    <mergeCell ref="N50:N51"/>
    <mergeCell ref="O50:O51"/>
    <mergeCell ref="P50:P51"/>
    <mergeCell ref="Q50:Q51"/>
    <mergeCell ref="F50:F51"/>
    <mergeCell ref="G50:G51"/>
    <mergeCell ref="H50:H51"/>
    <mergeCell ref="I50:I51"/>
    <mergeCell ref="J50:J51"/>
    <mergeCell ref="K50:K51"/>
    <mergeCell ref="B56:C56"/>
    <mergeCell ref="B57:C58"/>
    <mergeCell ref="D57:D58"/>
    <mergeCell ref="E57:E58"/>
    <mergeCell ref="F57:F58"/>
    <mergeCell ref="G57:G58"/>
    <mergeCell ref="AF50:AF51"/>
    <mergeCell ref="AG50:AG51"/>
    <mergeCell ref="B52:C52"/>
    <mergeCell ref="B53:C53"/>
    <mergeCell ref="B54:C54"/>
    <mergeCell ref="B55:C55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N57:N58"/>
    <mergeCell ref="O57:O58"/>
    <mergeCell ref="P57:P58"/>
    <mergeCell ref="Q57:Q58"/>
    <mergeCell ref="R57:R58"/>
    <mergeCell ref="S57:S58"/>
    <mergeCell ref="H57:H58"/>
    <mergeCell ref="I57:I58"/>
    <mergeCell ref="J57:J58"/>
    <mergeCell ref="K57:K58"/>
    <mergeCell ref="L57:L58"/>
    <mergeCell ref="M57:M58"/>
    <mergeCell ref="B63:C63"/>
    <mergeCell ref="B64:C65"/>
    <mergeCell ref="D64:D65"/>
    <mergeCell ref="E64:E65"/>
    <mergeCell ref="F64:F65"/>
    <mergeCell ref="G64:G65"/>
    <mergeCell ref="AF57:AF58"/>
    <mergeCell ref="AG57:AG58"/>
    <mergeCell ref="B59:C59"/>
    <mergeCell ref="B60:C60"/>
    <mergeCell ref="B61:C61"/>
    <mergeCell ref="B62:C62"/>
    <mergeCell ref="Z57:Z58"/>
    <mergeCell ref="AA57:AA58"/>
    <mergeCell ref="AB57:AB58"/>
    <mergeCell ref="AC57:AC58"/>
    <mergeCell ref="AD57:AD58"/>
    <mergeCell ref="AE57:AE58"/>
    <mergeCell ref="T57:T58"/>
    <mergeCell ref="U57:U58"/>
    <mergeCell ref="V57:V58"/>
    <mergeCell ref="W57:W58"/>
    <mergeCell ref="X57:X58"/>
    <mergeCell ref="Y57:Y58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70:C70"/>
    <mergeCell ref="AF71:AF72"/>
    <mergeCell ref="AG71:AG72"/>
    <mergeCell ref="B72:C72"/>
    <mergeCell ref="B73:C73"/>
    <mergeCell ref="B75:C75"/>
    <mergeCell ref="AF64:AF65"/>
    <mergeCell ref="AG64:AG65"/>
    <mergeCell ref="B66:C66"/>
    <mergeCell ref="B67:C67"/>
    <mergeCell ref="B68:C68"/>
    <mergeCell ref="B69:C69"/>
    <mergeCell ref="Z64:Z65"/>
    <mergeCell ref="AA64:AA65"/>
    <mergeCell ref="AB64:AB65"/>
    <mergeCell ref="AC64:AC65"/>
    <mergeCell ref="AD64:AD65"/>
    <mergeCell ref="AE64:AE65"/>
    <mergeCell ref="T64:T65"/>
    <mergeCell ref="U64:U65"/>
    <mergeCell ref="V64:V65"/>
    <mergeCell ref="W64:W65"/>
    <mergeCell ref="X64:X65"/>
    <mergeCell ref="Y64:Y65"/>
    <mergeCell ref="B82:C82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B81:C8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Лист3</vt:lpstr>
      <vt:lpstr>Лист4</vt:lpstr>
      <vt:lpstr>Лист5</vt:lpstr>
      <vt:lpstr>Лист6</vt:lpstr>
      <vt:lpstr>Лист7</vt:lpstr>
      <vt:lpstr>Лист8</vt:lpstr>
      <vt:lpstr>на 01.10.2015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Васина</dc:creator>
  <cp:lastModifiedBy>Шилова</cp:lastModifiedBy>
  <cp:lastPrinted>2015-10-22T10:56:05Z</cp:lastPrinted>
  <dcterms:created xsi:type="dcterms:W3CDTF">2012-01-13T10:18:29Z</dcterms:created>
  <dcterms:modified xsi:type="dcterms:W3CDTF">2015-10-22T11:55:10Z</dcterms:modified>
</cp:coreProperties>
</file>