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3256" windowHeight="13176" firstSheet="6" activeTab="10"/>
  </bookViews>
  <sheets>
    <sheet name="Лист3" sheetId="3" state="hidden" r:id="rId1"/>
    <sheet name="Лист4" sheetId="4" state="hidden" r:id="rId2"/>
    <sheet name="Лист5" sheetId="5" state="hidden" r:id="rId3"/>
    <sheet name="Лист6" sheetId="6" state="hidden" r:id="rId4"/>
    <sheet name="Лист7" sheetId="7" state="hidden" r:id="rId5"/>
    <sheet name="Лист8" sheetId="8" state="hidden" r:id="rId6"/>
    <sheet name="январь" sheetId="83" r:id="rId7"/>
    <sheet name="февраль" sheetId="84" r:id="rId8"/>
    <sheet name="март" sheetId="85" r:id="rId9"/>
    <sheet name="апрель" sheetId="86" r:id="rId10"/>
    <sheet name="май" sheetId="87" r:id="rId11"/>
  </sheets>
  <definedNames>
    <definedName name="_xlnm.Print_Titles" localSheetId="9">апрель!$5:$7</definedName>
    <definedName name="_xlnm.Print_Titles" localSheetId="10">май!$5:$7</definedName>
    <definedName name="_xlnm.Print_Titles" localSheetId="8">март!$5:$7</definedName>
    <definedName name="_xlnm.Print_Titles" localSheetId="7">февраль!$5:$7</definedName>
    <definedName name="_xlnm.Print_Titles" localSheetId="6">январь!$5:$7</definedName>
  </definedNames>
  <calcPr calcId="125725"/>
</workbook>
</file>

<file path=xl/calcChain.xml><?xml version="1.0" encoding="utf-8"?>
<calcChain xmlns="http://schemas.openxmlformats.org/spreadsheetml/2006/main">
  <c r="AR62" i="87"/>
  <c r="AR61"/>
  <c r="AR60"/>
  <c r="AR58" s="1"/>
  <c r="AQ62"/>
  <c r="AQ58" s="1"/>
  <c r="AQ61"/>
  <c r="AQ60"/>
  <c r="AR76"/>
  <c r="AR75"/>
  <c r="AR113" s="1"/>
  <c r="AR74"/>
  <c r="AQ74"/>
  <c r="AQ112" s="1"/>
  <c r="AQ75"/>
  <c r="AQ76"/>
  <c r="AQ83"/>
  <c r="AQ82"/>
  <c r="AQ81"/>
  <c r="AQ79" s="1"/>
  <c r="AU79" s="1"/>
  <c r="AQ69"/>
  <c r="AQ65" s="1"/>
  <c r="AU65" s="1"/>
  <c r="AQ68"/>
  <c r="AQ67"/>
  <c r="AQ53"/>
  <c r="AQ51" s="1"/>
  <c r="AU51" s="1"/>
  <c r="AT116"/>
  <c r="AS116"/>
  <c r="AR116"/>
  <c r="AQ116"/>
  <c r="AP116"/>
  <c r="AO116"/>
  <c r="AN116"/>
  <c r="AM116"/>
  <c r="AL116"/>
  <c r="AK116"/>
  <c r="AJ116"/>
  <c r="AI116"/>
  <c r="AH116"/>
  <c r="AG116"/>
  <c r="AF116"/>
  <c r="AD116"/>
  <c r="AB116"/>
  <c r="Z116"/>
  <c r="Y116"/>
  <c r="X116"/>
  <c r="W116"/>
  <c r="V116"/>
  <c r="U116"/>
  <c r="T116"/>
  <c r="S116"/>
  <c r="R116"/>
  <c r="Q116"/>
  <c r="P116"/>
  <c r="O116"/>
  <c r="N116"/>
  <c r="M116"/>
  <c r="L116"/>
  <c r="K116"/>
  <c r="J116"/>
  <c r="I116"/>
  <c r="H116"/>
  <c r="E116"/>
  <c r="D116"/>
  <c r="C116"/>
  <c r="AT115"/>
  <c r="AS115"/>
  <c r="AR115"/>
  <c r="AQ115"/>
  <c r="AP115"/>
  <c r="AO115"/>
  <c r="AN115"/>
  <c r="AM115"/>
  <c r="AL115"/>
  <c r="AK115"/>
  <c r="AJ115"/>
  <c r="AH115"/>
  <c r="AF115"/>
  <c r="AD115"/>
  <c r="AC115"/>
  <c r="AB115"/>
  <c r="Z115"/>
  <c r="Y115"/>
  <c r="X115"/>
  <c r="U115"/>
  <c r="T115"/>
  <c r="M115"/>
  <c r="L115"/>
  <c r="I115"/>
  <c r="H115"/>
  <c r="F115"/>
  <c r="E115"/>
  <c r="D115"/>
  <c r="C115"/>
  <c r="AT114"/>
  <c r="AS114"/>
  <c r="AP114"/>
  <c r="AO114"/>
  <c r="AL114"/>
  <c r="AK114"/>
  <c r="AH114"/>
  <c r="AG114"/>
  <c r="AB114"/>
  <c r="Z114"/>
  <c r="Y114"/>
  <c r="X114"/>
  <c r="V114"/>
  <c r="U114"/>
  <c r="T114"/>
  <c r="R114"/>
  <c r="P114"/>
  <c r="N114"/>
  <c r="M114"/>
  <c r="L114"/>
  <c r="J114"/>
  <c r="I114"/>
  <c r="H114"/>
  <c r="F114"/>
  <c r="E114"/>
  <c r="D114"/>
  <c r="C114"/>
  <c r="AT113"/>
  <c r="AS113"/>
  <c r="AP113"/>
  <c r="AO113"/>
  <c r="AL113"/>
  <c r="AK113"/>
  <c r="AJ113"/>
  <c r="AH113"/>
  <c r="AG113"/>
  <c r="AD113"/>
  <c r="AB113"/>
  <c r="Z113"/>
  <c r="Y113"/>
  <c r="X113"/>
  <c r="V113"/>
  <c r="U113"/>
  <c r="T113"/>
  <c r="R113"/>
  <c r="Q113"/>
  <c r="P113"/>
  <c r="N113"/>
  <c r="M113"/>
  <c r="L113"/>
  <c r="J113"/>
  <c r="H113"/>
  <c r="F113"/>
  <c r="E113"/>
  <c r="D113"/>
  <c r="C113"/>
  <c r="AT112"/>
  <c r="AS112"/>
  <c r="AP112"/>
  <c r="AO112"/>
  <c r="AL112"/>
  <c r="AK112"/>
  <c r="AH112"/>
  <c r="AG112"/>
  <c r="AF112"/>
  <c r="Y112"/>
  <c r="X112"/>
  <c r="U112"/>
  <c r="T112"/>
  <c r="M112"/>
  <c r="L112"/>
  <c r="I112"/>
  <c r="H112"/>
  <c r="E112"/>
  <c r="D112"/>
  <c r="C112"/>
  <c r="D109"/>
  <c r="C109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AT100"/>
  <c r="AS100"/>
  <c r="AV100" s="1"/>
  <c r="AR100"/>
  <c r="AQ100"/>
  <c r="AU100" s="1"/>
  <c r="AP100"/>
  <c r="AO100"/>
  <c r="AN100"/>
  <c r="AM100"/>
  <c r="AL100"/>
  <c r="AK100"/>
  <c r="AJ100"/>
  <c r="AI100"/>
  <c r="AH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I99"/>
  <c r="I93" s="1"/>
  <c r="G99"/>
  <c r="G116" s="1"/>
  <c r="AA98"/>
  <c r="AC97"/>
  <c r="AC96"/>
  <c r="AA96"/>
  <c r="AD95"/>
  <c r="AD112" s="1"/>
  <c r="AC95"/>
  <c r="AC93" s="1"/>
  <c r="AB95"/>
  <c r="AB93" s="1"/>
  <c r="AA95"/>
  <c r="X95"/>
  <c r="W95"/>
  <c r="V95"/>
  <c r="U95"/>
  <c r="T95"/>
  <c r="S95"/>
  <c r="P95"/>
  <c r="P93" s="1"/>
  <c r="O95"/>
  <c r="L95"/>
  <c r="K95"/>
  <c r="J95"/>
  <c r="J112" s="1"/>
  <c r="I95"/>
  <c r="H95"/>
  <c r="G95"/>
  <c r="F95"/>
  <c r="AP93"/>
  <c r="AO93"/>
  <c r="AN93"/>
  <c r="AM93"/>
  <c r="AL93"/>
  <c r="AK93"/>
  <c r="AJ93"/>
  <c r="AI93"/>
  <c r="AE93"/>
  <c r="AD93"/>
  <c r="AA93"/>
  <c r="Z93"/>
  <c r="Y93"/>
  <c r="X93"/>
  <c r="W93"/>
  <c r="V93"/>
  <c r="U93"/>
  <c r="T93"/>
  <c r="S93"/>
  <c r="R93"/>
  <c r="Q93"/>
  <c r="O93"/>
  <c r="N93"/>
  <c r="M93"/>
  <c r="L93"/>
  <c r="K93"/>
  <c r="J93"/>
  <c r="H93"/>
  <c r="G93"/>
  <c r="F93"/>
  <c r="E93"/>
  <c r="D93"/>
  <c r="Z86"/>
  <c r="AV86" s="1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AU86" s="1"/>
  <c r="D86"/>
  <c r="AC84"/>
  <c r="AA84"/>
  <c r="AA115" s="1"/>
  <c r="W84"/>
  <c r="Q84"/>
  <c r="Q115" s="1"/>
  <c r="P84"/>
  <c r="P115" s="1"/>
  <c r="O84"/>
  <c r="L84"/>
  <c r="K84"/>
  <c r="J84"/>
  <c r="J79" s="1"/>
  <c r="I84"/>
  <c r="H84"/>
  <c r="G84"/>
  <c r="G79" s="1"/>
  <c r="AM83"/>
  <c r="AI83"/>
  <c r="AE83"/>
  <c r="AC83"/>
  <c r="AA83"/>
  <c r="AI82"/>
  <c r="AE82"/>
  <c r="AC82"/>
  <c r="AA82"/>
  <c r="AA79" s="1"/>
  <c r="AM81"/>
  <c r="AI81"/>
  <c r="AE81"/>
  <c r="AE79" s="1"/>
  <c r="AC81"/>
  <c r="AA81"/>
  <c r="Z81"/>
  <c r="Z112" s="1"/>
  <c r="W81"/>
  <c r="W79" s="1"/>
  <c r="U81"/>
  <c r="S81"/>
  <c r="P81"/>
  <c r="P79" s="1"/>
  <c r="O81"/>
  <c r="O79" s="1"/>
  <c r="N81"/>
  <c r="N112" s="1"/>
  <c r="M81"/>
  <c r="K81"/>
  <c r="K79" s="1"/>
  <c r="I81"/>
  <c r="H81"/>
  <c r="G81"/>
  <c r="AV79"/>
  <c r="AT79"/>
  <c r="AS79"/>
  <c r="AR79"/>
  <c r="AP79"/>
  <c r="AO79"/>
  <c r="AN79"/>
  <c r="AM79"/>
  <c r="AL79"/>
  <c r="AK79"/>
  <c r="AI79"/>
  <c r="AG79"/>
  <c r="AD79"/>
  <c r="AC79"/>
  <c r="AB79"/>
  <c r="Y79"/>
  <c r="X79"/>
  <c r="V79"/>
  <c r="U79"/>
  <c r="T79"/>
  <c r="S79"/>
  <c r="R79"/>
  <c r="Q79"/>
  <c r="N79"/>
  <c r="M79"/>
  <c r="L79"/>
  <c r="I79"/>
  <c r="H79"/>
  <c r="F79"/>
  <c r="E79"/>
  <c r="AE78"/>
  <c r="AC78"/>
  <c r="AI77"/>
  <c r="AE77"/>
  <c r="W77"/>
  <c r="O77"/>
  <c r="AN76"/>
  <c r="AN114" s="1"/>
  <c r="AM76"/>
  <c r="AI76"/>
  <c r="AF76"/>
  <c r="AF114" s="1"/>
  <c r="AE76"/>
  <c r="AD76"/>
  <c r="AD114" s="1"/>
  <c r="AC76"/>
  <c r="AA76"/>
  <c r="W76"/>
  <c r="W114" s="1"/>
  <c r="U76"/>
  <c r="S76"/>
  <c r="S114" s="1"/>
  <c r="Q76"/>
  <c r="Q114" s="1"/>
  <c r="O76"/>
  <c r="O114" s="1"/>
  <c r="K76"/>
  <c r="K114" s="1"/>
  <c r="I76"/>
  <c r="G76"/>
  <c r="G114" s="1"/>
  <c r="AN75"/>
  <c r="AM75"/>
  <c r="AI75"/>
  <c r="AI72" s="1"/>
  <c r="AF75"/>
  <c r="AE75"/>
  <c r="AC75"/>
  <c r="AC113" s="1"/>
  <c r="AA75"/>
  <c r="W75"/>
  <c r="W113" s="1"/>
  <c r="U75"/>
  <c r="S75"/>
  <c r="S113" s="1"/>
  <c r="Q75"/>
  <c r="Q72" s="1"/>
  <c r="O75"/>
  <c r="O113" s="1"/>
  <c r="K75"/>
  <c r="K113" s="1"/>
  <c r="I75"/>
  <c r="I72" s="1"/>
  <c r="G75"/>
  <c r="G113" s="1"/>
  <c r="AN74"/>
  <c r="AN72" s="1"/>
  <c r="AM74"/>
  <c r="AM72" s="1"/>
  <c r="AI74"/>
  <c r="AF74"/>
  <c r="AE74"/>
  <c r="AC74"/>
  <c r="AC72" s="1"/>
  <c r="AA74"/>
  <c r="W74"/>
  <c r="V74"/>
  <c r="V72" s="1"/>
  <c r="U74"/>
  <c r="U72" s="1"/>
  <c r="S74"/>
  <c r="Q74"/>
  <c r="O74"/>
  <c r="M74"/>
  <c r="M72" s="1"/>
  <c r="K74"/>
  <c r="I74"/>
  <c r="G74"/>
  <c r="AT72"/>
  <c r="AS72"/>
  <c r="AV72" s="1"/>
  <c r="AP72"/>
  <c r="AO72"/>
  <c r="AL72"/>
  <c r="AK72"/>
  <c r="AJ72"/>
  <c r="AE72"/>
  <c r="AD72"/>
  <c r="AB72"/>
  <c r="AA72"/>
  <c r="Z72"/>
  <c r="Y72"/>
  <c r="X72"/>
  <c r="W72"/>
  <c r="T72"/>
  <c r="S72"/>
  <c r="R72"/>
  <c r="P72"/>
  <c r="O72"/>
  <c r="N72"/>
  <c r="L72"/>
  <c r="K72"/>
  <c r="J72"/>
  <c r="H72"/>
  <c r="G72"/>
  <c r="F72"/>
  <c r="E72"/>
  <c r="D72"/>
  <c r="AE69"/>
  <c r="AE68"/>
  <c r="AM67"/>
  <c r="AI67"/>
  <c r="AI65" s="1"/>
  <c r="AE67"/>
  <c r="AE65" s="1"/>
  <c r="AT65"/>
  <c r="AS65"/>
  <c r="AV65" s="1"/>
  <c r="AR65"/>
  <c r="AP65"/>
  <c r="AO65"/>
  <c r="AN65"/>
  <c r="AM65"/>
  <c r="AL65"/>
  <c r="AK65"/>
  <c r="AJ65"/>
  <c r="AH65"/>
  <c r="AF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AF64"/>
  <c r="AE64"/>
  <c r="AE116" s="1"/>
  <c r="AC64"/>
  <c r="AC116" s="1"/>
  <c r="AA64"/>
  <c r="AA116" s="1"/>
  <c r="AK63"/>
  <c r="AI63"/>
  <c r="AI115" s="1"/>
  <c r="AG63"/>
  <c r="AG58" s="1"/>
  <c r="AG111" s="1"/>
  <c r="AG118" s="1"/>
  <c r="AE63"/>
  <c r="AE115" s="1"/>
  <c r="X63"/>
  <c r="W63"/>
  <c r="W115" s="1"/>
  <c r="V63"/>
  <c r="V115" s="1"/>
  <c r="U63"/>
  <c r="T63"/>
  <c r="S63"/>
  <c r="S115" s="1"/>
  <c r="R63"/>
  <c r="R115" s="1"/>
  <c r="Q63"/>
  <c r="P63"/>
  <c r="O63"/>
  <c r="O115" s="1"/>
  <c r="N63"/>
  <c r="N115" s="1"/>
  <c r="M63"/>
  <c r="L63"/>
  <c r="K63"/>
  <c r="K115" s="1"/>
  <c r="J63"/>
  <c r="J115" s="1"/>
  <c r="I63"/>
  <c r="H63"/>
  <c r="G63"/>
  <c r="G115" s="1"/>
  <c r="AR114"/>
  <c r="AN62"/>
  <c r="AM62"/>
  <c r="AM114" s="1"/>
  <c r="AJ62"/>
  <c r="AJ114" s="1"/>
  <c r="AI62"/>
  <c r="AI114" s="1"/>
  <c r="AF62"/>
  <c r="AE62"/>
  <c r="AC62"/>
  <c r="AC114" s="1"/>
  <c r="AA62"/>
  <c r="AA114" s="1"/>
  <c r="AQ113"/>
  <c r="AN61"/>
  <c r="AN58" s="1"/>
  <c r="AM61"/>
  <c r="AM113" s="1"/>
  <c r="AJ61"/>
  <c r="AI61"/>
  <c r="AI113" s="1"/>
  <c r="AF61"/>
  <c r="AF58" s="1"/>
  <c r="AE61"/>
  <c r="AE58" s="1"/>
  <c r="AC61"/>
  <c r="AA61"/>
  <c r="AA113" s="1"/>
  <c r="AN60"/>
  <c r="AM60"/>
  <c r="AJ60"/>
  <c r="AJ58" s="1"/>
  <c r="AI60"/>
  <c r="AI58" s="1"/>
  <c r="AF60"/>
  <c r="AE60"/>
  <c r="AC60"/>
  <c r="AC58" s="1"/>
  <c r="AA60"/>
  <c r="AA112" s="1"/>
  <c r="X60"/>
  <c r="W60"/>
  <c r="W112" s="1"/>
  <c r="V60"/>
  <c r="V112" s="1"/>
  <c r="U60"/>
  <c r="S60"/>
  <c r="R60"/>
  <c r="R112" s="1"/>
  <c r="Q60"/>
  <c r="Q58" s="1"/>
  <c r="F60"/>
  <c r="F112" s="1"/>
  <c r="AT58"/>
  <c r="AS58"/>
  <c r="AV58" s="1"/>
  <c r="AP58"/>
  <c r="AO58"/>
  <c r="AL58"/>
  <c r="AK58"/>
  <c r="AH58"/>
  <c r="AH111" s="1"/>
  <c r="AH118" s="1"/>
  <c r="AD58"/>
  <c r="AB58"/>
  <c r="Z58"/>
  <c r="Y58"/>
  <c r="X58"/>
  <c r="W58"/>
  <c r="V58"/>
  <c r="U58"/>
  <c r="T58"/>
  <c r="S58"/>
  <c r="R58"/>
  <c r="P58"/>
  <c r="O58"/>
  <c r="N58"/>
  <c r="M58"/>
  <c r="L58"/>
  <c r="K58"/>
  <c r="J58"/>
  <c r="I58"/>
  <c r="H58"/>
  <c r="G58"/>
  <c r="F58"/>
  <c r="E58"/>
  <c r="AM53"/>
  <c r="AM112" s="1"/>
  <c r="AI53"/>
  <c r="AI51" s="1"/>
  <c r="AE53"/>
  <c r="AC53"/>
  <c r="S53"/>
  <c r="S112" s="1"/>
  <c r="AV51"/>
  <c r="AT51"/>
  <c r="AS51"/>
  <c r="AR51"/>
  <c r="AP51"/>
  <c r="AO51"/>
  <c r="AN51"/>
  <c r="AM51"/>
  <c r="AL51"/>
  <c r="AK51"/>
  <c r="AJ51"/>
  <c r="AH51"/>
  <c r="AF51"/>
  <c r="AE51"/>
  <c r="AE111" s="1"/>
  <c r="AE118" s="1"/>
  <c r="AD51"/>
  <c r="AC51"/>
  <c r="AB51"/>
  <c r="AA51"/>
  <c r="Z51"/>
  <c r="Y51"/>
  <c r="X51"/>
  <c r="W51"/>
  <c r="V51"/>
  <c r="U51"/>
  <c r="T51"/>
  <c r="S51"/>
  <c r="R51"/>
  <c r="Q51"/>
  <c r="P51"/>
  <c r="O51"/>
  <c r="N51"/>
  <c r="N111" s="1"/>
  <c r="N118" s="1"/>
  <c r="M51"/>
  <c r="L51"/>
  <c r="K51"/>
  <c r="J51"/>
  <c r="I51"/>
  <c r="H51"/>
  <c r="G51"/>
  <c r="F51"/>
  <c r="E51"/>
  <c r="D51"/>
  <c r="D111" s="1"/>
  <c r="D118" s="1"/>
  <c r="D121" s="1"/>
  <c r="C51"/>
  <c r="C111" s="1"/>
  <c r="C118" s="1"/>
  <c r="C121" s="1"/>
  <c r="AT45"/>
  <c r="AS45"/>
  <c r="AV45" s="1"/>
  <c r="AR45"/>
  <c r="AQ45"/>
  <c r="AU45" s="1"/>
  <c r="AP45"/>
  <c r="AO45"/>
  <c r="AN45"/>
  <c r="AM45"/>
  <c r="AT39"/>
  <c r="AS39"/>
  <c r="AV39" s="1"/>
  <c r="AR39"/>
  <c r="AQ39"/>
  <c r="AU39" s="1"/>
  <c r="AP39"/>
  <c r="AO39"/>
  <c r="AN39"/>
  <c r="AM39"/>
  <c r="AT33"/>
  <c r="AS33"/>
  <c r="AV33" s="1"/>
  <c r="AR33"/>
  <c r="AQ33"/>
  <c r="AU33" s="1"/>
  <c r="AP33"/>
  <c r="AO33"/>
  <c r="AN33"/>
  <c r="AM33"/>
  <c r="AL33"/>
  <c r="AK33"/>
  <c r="AJ33"/>
  <c r="AI33"/>
  <c r="AT27"/>
  <c r="AS27"/>
  <c r="AV27" s="1"/>
  <c r="AR27"/>
  <c r="AQ27"/>
  <c r="AU27" s="1"/>
  <c r="AP27"/>
  <c r="AO27"/>
  <c r="AN27"/>
  <c r="AM27"/>
  <c r="AL27"/>
  <c r="AJ27"/>
  <c r="AI27"/>
  <c r="AI22"/>
  <c r="AI21" s="1"/>
  <c r="AT21"/>
  <c r="AS21"/>
  <c r="AV21" s="1"/>
  <c r="AR21"/>
  <c r="AQ21"/>
  <c r="AU21" s="1"/>
  <c r="AP21"/>
  <c r="AO21"/>
  <c r="AN21"/>
  <c r="AM21"/>
  <c r="AL21"/>
  <c r="AK21"/>
  <c r="AJ21"/>
  <c r="AT15"/>
  <c r="AS15"/>
  <c r="AR15"/>
  <c r="AQ15"/>
  <c r="AU15" s="1"/>
  <c r="AP15"/>
  <c r="AO15"/>
  <c r="AV15" s="1"/>
  <c r="AN15"/>
  <c r="AM15"/>
  <c r="F14"/>
  <c r="F8" s="1"/>
  <c r="F111" s="1"/>
  <c r="F118" s="1"/>
  <c r="AE12"/>
  <c r="AE114" s="1"/>
  <c r="AE11"/>
  <c r="AE113" s="1"/>
  <c r="AI10"/>
  <c r="AI112" s="1"/>
  <c r="AE10"/>
  <c r="AE112" s="1"/>
  <c r="O10"/>
  <c r="O112" s="1"/>
  <c r="M10"/>
  <c r="K10"/>
  <c r="K112" s="1"/>
  <c r="I10"/>
  <c r="I8" s="1"/>
  <c r="I111" s="1"/>
  <c r="I118" s="1"/>
  <c r="G10"/>
  <c r="G112" s="1"/>
  <c r="AT8"/>
  <c r="AT111" s="1"/>
  <c r="AT118" s="1"/>
  <c r="AS8"/>
  <c r="AS111" s="1"/>
  <c r="AR8"/>
  <c r="AQ8"/>
  <c r="AP8"/>
  <c r="AP111" s="1"/>
  <c r="AP118" s="1"/>
  <c r="AO8"/>
  <c r="AN8"/>
  <c r="AN111" s="1"/>
  <c r="AN118" s="1"/>
  <c r="AM8"/>
  <c r="AL8"/>
  <c r="AL111" s="1"/>
  <c r="AL118" s="1"/>
  <c r="AK8"/>
  <c r="AJ8"/>
  <c r="AJ111" s="1"/>
  <c r="AJ118" s="1"/>
  <c r="AI8"/>
  <c r="AE8"/>
  <c r="AD8"/>
  <c r="AC8"/>
  <c r="AC111" s="1"/>
  <c r="AC118" s="1"/>
  <c r="AB8"/>
  <c r="AA8"/>
  <c r="Z8"/>
  <c r="Y8"/>
  <c r="Y111" s="1"/>
  <c r="Y118" s="1"/>
  <c r="X8"/>
  <c r="W8"/>
  <c r="V8"/>
  <c r="U8"/>
  <c r="U111" s="1"/>
  <c r="U118" s="1"/>
  <c r="T8"/>
  <c r="S8"/>
  <c r="R8"/>
  <c r="Q8"/>
  <c r="Q111" s="1"/>
  <c r="Q118" s="1"/>
  <c r="P8"/>
  <c r="O8"/>
  <c r="N8"/>
  <c r="M8"/>
  <c r="M111" s="1"/>
  <c r="M118" s="1"/>
  <c r="L8"/>
  <c r="J8"/>
  <c r="H8"/>
  <c r="G8"/>
  <c r="E8"/>
  <c r="AR76" i="86"/>
  <c r="AR75"/>
  <c r="AR74"/>
  <c r="AQ75"/>
  <c r="AQ76"/>
  <c r="AQ74"/>
  <c r="AR62"/>
  <c r="AR61"/>
  <c r="AR113" s="1"/>
  <c r="AR60"/>
  <c r="AQ62"/>
  <c r="AQ58" s="1"/>
  <c r="AU58" s="1"/>
  <c r="AQ61"/>
  <c r="AQ113" s="1"/>
  <c r="AQ60"/>
  <c r="AQ81"/>
  <c r="AQ67"/>
  <c r="AQ65" s="1"/>
  <c r="AU65" s="1"/>
  <c r="AQ53"/>
  <c r="AT116"/>
  <c r="AS116"/>
  <c r="AR116"/>
  <c r="AQ116"/>
  <c r="AP116"/>
  <c r="AO116"/>
  <c r="AN116"/>
  <c r="AM116"/>
  <c r="AL116"/>
  <c r="AK116"/>
  <c r="AJ116"/>
  <c r="AI116"/>
  <c r="AH116"/>
  <c r="AG116"/>
  <c r="AE116"/>
  <c r="AD116"/>
  <c r="AB116"/>
  <c r="AA116"/>
  <c r="Z116"/>
  <c r="Y116"/>
  <c r="X116"/>
  <c r="W116"/>
  <c r="V116"/>
  <c r="U116"/>
  <c r="T116"/>
  <c r="S116"/>
  <c r="R116"/>
  <c r="Q116"/>
  <c r="P116"/>
  <c r="O116"/>
  <c r="N116"/>
  <c r="M116"/>
  <c r="L116"/>
  <c r="K116"/>
  <c r="J116"/>
  <c r="H116"/>
  <c r="E116"/>
  <c r="D116"/>
  <c r="C116"/>
  <c r="AT115"/>
  <c r="AS115"/>
  <c r="AR115"/>
  <c r="AQ115"/>
  <c r="AP115"/>
  <c r="AO115"/>
  <c r="AN115"/>
  <c r="AM115"/>
  <c r="AL115"/>
  <c r="AJ115"/>
  <c r="AI115"/>
  <c r="AH115"/>
  <c r="AF115"/>
  <c r="AD115"/>
  <c r="AB115"/>
  <c r="Z115"/>
  <c r="Y115"/>
  <c r="W115"/>
  <c r="V115"/>
  <c r="S115"/>
  <c r="R115"/>
  <c r="N115"/>
  <c r="K115"/>
  <c r="J115"/>
  <c r="G115"/>
  <c r="F115"/>
  <c r="E115"/>
  <c r="D115"/>
  <c r="C115"/>
  <c r="AT114"/>
  <c r="AS114"/>
  <c r="AP114"/>
  <c r="AO114"/>
  <c r="AL114"/>
  <c r="AK114"/>
  <c r="AI114"/>
  <c r="AH114"/>
  <c r="AG114"/>
  <c r="AE114"/>
  <c r="AD114"/>
  <c r="AB114"/>
  <c r="Z114"/>
  <c r="Y114"/>
  <c r="X114"/>
  <c r="W114"/>
  <c r="V114"/>
  <c r="T114"/>
  <c r="S114"/>
  <c r="R114"/>
  <c r="P114"/>
  <c r="O114"/>
  <c r="N114"/>
  <c r="M114"/>
  <c r="L114"/>
  <c r="K114"/>
  <c r="J114"/>
  <c r="H114"/>
  <c r="F114"/>
  <c r="E114"/>
  <c r="D114"/>
  <c r="C114"/>
  <c r="AT113"/>
  <c r="AS113"/>
  <c r="AP113"/>
  <c r="AO113"/>
  <c r="AL113"/>
  <c r="AK113"/>
  <c r="AI113"/>
  <c r="AH113"/>
  <c r="AG113"/>
  <c r="AE113"/>
  <c r="AD113"/>
  <c r="AB113"/>
  <c r="Z113"/>
  <c r="Y113"/>
  <c r="X113"/>
  <c r="W113"/>
  <c r="V113"/>
  <c r="T113"/>
  <c r="R113"/>
  <c r="P113"/>
  <c r="O113"/>
  <c r="N113"/>
  <c r="M113"/>
  <c r="L113"/>
  <c r="K113"/>
  <c r="J113"/>
  <c r="H113"/>
  <c r="G113"/>
  <c r="F113"/>
  <c r="E113"/>
  <c r="D113"/>
  <c r="C113"/>
  <c r="AT112"/>
  <c r="AS112"/>
  <c r="AP112"/>
  <c r="AO112"/>
  <c r="AM112"/>
  <c r="AL112"/>
  <c r="AK112"/>
  <c r="AH112"/>
  <c r="AG112"/>
  <c r="Y112"/>
  <c r="W112"/>
  <c r="N112"/>
  <c r="J112"/>
  <c r="F112"/>
  <c r="E112"/>
  <c r="D112"/>
  <c r="C112"/>
  <c r="AG111"/>
  <c r="AG118" s="1"/>
  <c r="D109"/>
  <c r="C109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AT100"/>
  <c r="AS100"/>
  <c r="AV100" s="1"/>
  <c r="AR100"/>
  <c r="AQ100"/>
  <c r="AU100" s="1"/>
  <c r="AP100"/>
  <c r="AO100"/>
  <c r="AN100"/>
  <c r="AM100"/>
  <c r="AL100"/>
  <c r="AK100"/>
  <c r="AJ100"/>
  <c r="AI100"/>
  <c r="AH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I99"/>
  <c r="I116" s="1"/>
  <c r="G99"/>
  <c r="G93" s="1"/>
  <c r="AA98"/>
  <c r="AC97"/>
  <c r="AC96"/>
  <c r="AA96"/>
  <c r="AA113" s="1"/>
  <c r="AD95"/>
  <c r="AD93" s="1"/>
  <c r="AC95"/>
  <c r="AB95"/>
  <c r="AB112" s="1"/>
  <c r="AA95"/>
  <c r="AA112" s="1"/>
  <c r="X95"/>
  <c r="W95"/>
  <c r="V95"/>
  <c r="U95"/>
  <c r="T95"/>
  <c r="T112" s="1"/>
  <c r="S95"/>
  <c r="P95"/>
  <c r="O95"/>
  <c r="O93" s="1"/>
  <c r="L95"/>
  <c r="L112" s="1"/>
  <c r="K95"/>
  <c r="J95"/>
  <c r="I95"/>
  <c r="H95"/>
  <c r="G95"/>
  <c r="F95"/>
  <c r="AV93"/>
  <c r="AP93"/>
  <c r="AO93"/>
  <c r="AN93"/>
  <c r="AM93"/>
  <c r="AL93"/>
  <c r="AK93"/>
  <c r="AJ93"/>
  <c r="AI93"/>
  <c r="AE93"/>
  <c r="AC93"/>
  <c r="AB93"/>
  <c r="Z93"/>
  <c r="Y93"/>
  <c r="X93"/>
  <c r="W93"/>
  <c r="V93"/>
  <c r="U93"/>
  <c r="T93"/>
  <c r="S93"/>
  <c r="R93"/>
  <c r="Q93"/>
  <c r="P93"/>
  <c r="N93"/>
  <c r="M93"/>
  <c r="L93"/>
  <c r="K93"/>
  <c r="J93"/>
  <c r="I93"/>
  <c r="H93"/>
  <c r="F93"/>
  <c r="E93"/>
  <c r="D93"/>
  <c r="D111" s="1"/>
  <c r="D118" s="1"/>
  <c r="D121" s="1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AC84"/>
  <c r="AC115" s="1"/>
  <c r="AA84"/>
  <c r="AA115" s="1"/>
  <c r="W84"/>
  <c r="Q84"/>
  <c r="P84"/>
  <c r="O84"/>
  <c r="O115" s="1"/>
  <c r="L84"/>
  <c r="K84"/>
  <c r="J84"/>
  <c r="I84"/>
  <c r="H84"/>
  <c r="G84"/>
  <c r="AM83"/>
  <c r="AM79" s="1"/>
  <c r="AI83"/>
  <c r="AE83"/>
  <c r="AC83"/>
  <c r="AA83"/>
  <c r="AI82"/>
  <c r="AE82"/>
  <c r="AC82"/>
  <c r="AA82"/>
  <c r="AA79" s="1"/>
  <c r="AM81"/>
  <c r="AI81"/>
  <c r="AE81"/>
  <c r="AE79" s="1"/>
  <c r="AC81"/>
  <c r="AA81"/>
  <c r="Z81"/>
  <c r="Z79" s="1"/>
  <c r="W81"/>
  <c r="W79" s="1"/>
  <c r="U81"/>
  <c r="S81"/>
  <c r="P81"/>
  <c r="P112" s="1"/>
  <c r="O81"/>
  <c r="O79" s="1"/>
  <c r="N81"/>
  <c r="M81"/>
  <c r="K81"/>
  <c r="K79" s="1"/>
  <c r="I81"/>
  <c r="H81"/>
  <c r="H112" s="1"/>
  <c r="G81"/>
  <c r="AV79"/>
  <c r="AT79"/>
  <c r="AS79"/>
  <c r="AR79"/>
  <c r="AQ79"/>
  <c r="AU79" s="1"/>
  <c r="AP79"/>
  <c r="AO79"/>
  <c r="AN79"/>
  <c r="AL79"/>
  <c r="AK79"/>
  <c r="AI79"/>
  <c r="AG79"/>
  <c r="AD79"/>
  <c r="AC79"/>
  <c r="AB79"/>
  <c r="Y79"/>
  <c r="Y111" s="1"/>
  <c r="Y118" s="1"/>
  <c r="X79"/>
  <c r="V79"/>
  <c r="U79"/>
  <c r="T79"/>
  <c r="S79"/>
  <c r="R79"/>
  <c r="Q79"/>
  <c r="N79"/>
  <c r="M79"/>
  <c r="L79"/>
  <c r="J79"/>
  <c r="I79"/>
  <c r="H79"/>
  <c r="G79"/>
  <c r="F79"/>
  <c r="E79"/>
  <c r="E111" s="1"/>
  <c r="E118" s="1"/>
  <c r="AE78"/>
  <c r="AC78"/>
  <c r="AI77"/>
  <c r="AE77"/>
  <c r="AE115" s="1"/>
  <c r="W77"/>
  <c r="O77"/>
  <c r="AN76"/>
  <c r="AM76"/>
  <c r="AI76"/>
  <c r="AF76"/>
  <c r="AF72" s="1"/>
  <c r="AE76"/>
  <c r="AD76"/>
  <c r="AC76"/>
  <c r="AA76"/>
  <c r="AA114" s="1"/>
  <c r="W76"/>
  <c r="U76"/>
  <c r="U114" s="1"/>
  <c r="S76"/>
  <c r="Q76"/>
  <c r="Q114" s="1"/>
  <c r="O76"/>
  <c r="K76"/>
  <c r="I76"/>
  <c r="I114" s="1"/>
  <c r="G76"/>
  <c r="G114" s="1"/>
  <c r="AN75"/>
  <c r="AM75"/>
  <c r="AM113" s="1"/>
  <c r="AI75"/>
  <c r="AI72" s="1"/>
  <c r="AF75"/>
  <c r="AE75"/>
  <c r="AC75"/>
  <c r="AA75"/>
  <c r="W75"/>
  <c r="U75"/>
  <c r="U113" s="1"/>
  <c r="S75"/>
  <c r="S113" s="1"/>
  <c r="Q75"/>
  <c r="Q113" s="1"/>
  <c r="O75"/>
  <c r="K75"/>
  <c r="I75"/>
  <c r="I113" s="1"/>
  <c r="G75"/>
  <c r="AN74"/>
  <c r="AN72" s="1"/>
  <c r="AM74"/>
  <c r="AM72" s="1"/>
  <c r="AI74"/>
  <c r="AF74"/>
  <c r="AE74"/>
  <c r="AE112" s="1"/>
  <c r="AC74"/>
  <c r="AC72" s="1"/>
  <c r="AA74"/>
  <c r="W74"/>
  <c r="V74"/>
  <c r="V72" s="1"/>
  <c r="U74"/>
  <c r="U72" s="1"/>
  <c r="S74"/>
  <c r="Q74"/>
  <c r="O74"/>
  <c r="O112" s="1"/>
  <c r="M74"/>
  <c r="M72" s="1"/>
  <c r="K74"/>
  <c r="I74"/>
  <c r="G74"/>
  <c r="G112" s="1"/>
  <c r="AT72"/>
  <c r="AS72"/>
  <c r="AS111" s="1"/>
  <c r="AP72"/>
  <c r="AO72"/>
  <c r="AO111" s="1"/>
  <c r="AO118" s="1"/>
  <c r="AL72"/>
  <c r="AK72"/>
  <c r="AJ72"/>
  <c r="AE72"/>
  <c r="AD72"/>
  <c r="AB72"/>
  <c r="AA72"/>
  <c r="Z72"/>
  <c r="Y72"/>
  <c r="X72"/>
  <c r="W72"/>
  <c r="T72"/>
  <c r="S72"/>
  <c r="R72"/>
  <c r="P72"/>
  <c r="O72"/>
  <c r="N72"/>
  <c r="L72"/>
  <c r="K72"/>
  <c r="J72"/>
  <c r="H72"/>
  <c r="G72"/>
  <c r="F72"/>
  <c r="E72"/>
  <c r="D72"/>
  <c r="AE69"/>
  <c r="AE68"/>
  <c r="AM67"/>
  <c r="AI67"/>
  <c r="AE67"/>
  <c r="AV65"/>
  <c r="AT65"/>
  <c r="AS65"/>
  <c r="AR65"/>
  <c r="AP65"/>
  <c r="AO65"/>
  <c r="AN65"/>
  <c r="AM65"/>
  <c r="AL65"/>
  <c r="AK65"/>
  <c r="AJ65"/>
  <c r="AI65"/>
  <c r="AH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AF64"/>
  <c r="AF116" s="1"/>
  <c r="AE64"/>
  <c r="AC64"/>
  <c r="AC116" s="1"/>
  <c r="AA64"/>
  <c r="AK63"/>
  <c r="AK58" s="1"/>
  <c r="AK111" s="1"/>
  <c r="AK118" s="1"/>
  <c r="AI63"/>
  <c r="AG63"/>
  <c r="AG115" s="1"/>
  <c r="AE63"/>
  <c r="X63"/>
  <c r="X115" s="1"/>
  <c r="W63"/>
  <c r="V63"/>
  <c r="U63"/>
  <c r="U115" s="1"/>
  <c r="T63"/>
  <c r="T115" s="1"/>
  <c r="S63"/>
  <c r="R63"/>
  <c r="Q63"/>
  <c r="Q115" s="1"/>
  <c r="P63"/>
  <c r="P115" s="1"/>
  <c r="O63"/>
  <c r="N63"/>
  <c r="M63"/>
  <c r="M115" s="1"/>
  <c r="L63"/>
  <c r="L115" s="1"/>
  <c r="K63"/>
  <c r="J63"/>
  <c r="I63"/>
  <c r="I115" s="1"/>
  <c r="H63"/>
  <c r="H115" s="1"/>
  <c r="G63"/>
  <c r="AR114"/>
  <c r="AN62"/>
  <c r="AN114" s="1"/>
  <c r="AM62"/>
  <c r="AJ62"/>
  <c r="AJ114" s="1"/>
  <c r="AI62"/>
  <c r="AF62"/>
  <c r="AF114" s="1"/>
  <c r="AE62"/>
  <c r="AC62"/>
  <c r="AC114" s="1"/>
  <c r="AA62"/>
  <c r="AN61"/>
  <c r="AN113" s="1"/>
  <c r="AM61"/>
  <c r="AJ61"/>
  <c r="AJ113" s="1"/>
  <c r="AI61"/>
  <c r="AF61"/>
  <c r="AF113" s="1"/>
  <c r="AE61"/>
  <c r="AC61"/>
  <c r="AC58" s="1"/>
  <c r="AC111" s="1"/>
  <c r="AC118" s="1"/>
  <c r="AA61"/>
  <c r="AR112"/>
  <c r="AN60"/>
  <c r="AN112" s="1"/>
  <c r="AM60"/>
  <c r="AJ60"/>
  <c r="AJ112" s="1"/>
  <c r="AI60"/>
  <c r="AF60"/>
  <c r="AF112" s="1"/>
  <c r="AE60"/>
  <c r="AC60"/>
  <c r="AA60"/>
  <c r="X60"/>
  <c r="X112" s="1"/>
  <c r="W60"/>
  <c r="V60"/>
  <c r="U60"/>
  <c r="U112" s="1"/>
  <c r="S60"/>
  <c r="S58" s="1"/>
  <c r="R60"/>
  <c r="R112" s="1"/>
  <c r="Q60"/>
  <c r="Q112" s="1"/>
  <c r="F60"/>
  <c r="AV58"/>
  <c r="AT58"/>
  <c r="AS58"/>
  <c r="AR58"/>
  <c r="AP58"/>
  <c r="AO58"/>
  <c r="AN58"/>
  <c r="AM58"/>
  <c r="AL58"/>
  <c r="AJ58"/>
  <c r="AI58"/>
  <c r="AH58"/>
  <c r="AG58"/>
  <c r="AF58"/>
  <c r="AE58"/>
  <c r="AD58"/>
  <c r="AB58"/>
  <c r="AA58"/>
  <c r="Z58"/>
  <c r="Y58"/>
  <c r="X58"/>
  <c r="W58"/>
  <c r="V58"/>
  <c r="U58"/>
  <c r="T58"/>
  <c r="Q58"/>
  <c r="P58"/>
  <c r="O58"/>
  <c r="N58"/>
  <c r="M58"/>
  <c r="L58"/>
  <c r="K58"/>
  <c r="J58"/>
  <c r="I58"/>
  <c r="H58"/>
  <c r="G58"/>
  <c r="F58"/>
  <c r="E58"/>
  <c r="AM53"/>
  <c r="AI53"/>
  <c r="AI51" s="1"/>
  <c r="AE53"/>
  <c r="AC53"/>
  <c r="AC112" s="1"/>
  <c r="S53"/>
  <c r="AV51"/>
  <c r="AT51"/>
  <c r="AS51"/>
  <c r="AR51"/>
  <c r="AP51"/>
  <c r="AO51"/>
  <c r="AN51"/>
  <c r="AN111" s="1"/>
  <c r="AN118" s="1"/>
  <c r="AM51"/>
  <c r="AL51"/>
  <c r="AK51"/>
  <c r="AJ51"/>
  <c r="AJ111" s="1"/>
  <c r="AJ118" s="1"/>
  <c r="AH51"/>
  <c r="AH111" s="1"/>
  <c r="AH118" s="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C111" s="1"/>
  <c r="C118" s="1"/>
  <c r="C121" s="1"/>
  <c r="AT45"/>
  <c r="AS45"/>
  <c r="AV45" s="1"/>
  <c r="AR45"/>
  <c r="AQ45"/>
  <c r="AU45" s="1"/>
  <c r="AP45"/>
  <c r="AO45"/>
  <c r="AN45"/>
  <c r="AM45"/>
  <c r="AT39"/>
  <c r="AS39"/>
  <c r="AV39" s="1"/>
  <c r="AR39"/>
  <c r="AQ39"/>
  <c r="AU39" s="1"/>
  <c r="AP39"/>
  <c r="AO39"/>
  <c r="AN39"/>
  <c r="AM39"/>
  <c r="AT33"/>
  <c r="AS33"/>
  <c r="AV33" s="1"/>
  <c r="AR33"/>
  <c r="AQ33"/>
  <c r="AU33" s="1"/>
  <c r="AP33"/>
  <c r="AO33"/>
  <c r="AN33"/>
  <c r="AM33"/>
  <c r="AL33"/>
  <c r="AK33"/>
  <c r="AJ33"/>
  <c r="AI33"/>
  <c r="AT27"/>
  <c r="AS27"/>
  <c r="AV27" s="1"/>
  <c r="AR27"/>
  <c r="AQ27"/>
  <c r="AU27" s="1"/>
  <c r="AP27"/>
  <c r="AO27"/>
  <c r="AN27"/>
  <c r="AM27"/>
  <c r="AL27"/>
  <c r="AJ27"/>
  <c r="AI27"/>
  <c r="AI22"/>
  <c r="AI21" s="1"/>
  <c r="AT21"/>
  <c r="AS21"/>
  <c r="AV21" s="1"/>
  <c r="AR21"/>
  <c r="AQ21"/>
  <c r="AU21" s="1"/>
  <c r="AP21"/>
  <c r="AO21"/>
  <c r="AN21"/>
  <c r="AM21"/>
  <c r="AL21"/>
  <c r="AK21"/>
  <c r="AJ21"/>
  <c r="AT15"/>
  <c r="AS15"/>
  <c r="AR15"/>
  <c r="AQ15"/>
  <c r="AU15" s="1"/>
  <c r="AP15"/>
  <c r="AO15"/>
  <c r="AV15" s="1"/>
  <c r="AN15"/>
  <c r="AM15"/>
  <c r="F14"/>
  <c r="F116" s="1"/>
  <c r="AE12"/>
  <c r="AE11"/>
  <c r="AI10"/>
  <c r="AI112" s="1"/>
  <c r="AE10"/>
  <c r="O10"/>
  <c r="M10"/>
  <c r="M112" s="1"/>
  <c r="K10"/>
  <c r="K112" s="1"/>
  <c r="I10"/>
  <c r="I8" s="1"/>
  <c r="G10"/>
  <c r="AT8"/>
  <c r="AT111" s="1"/>
  <c r="AT118" s="1"/>
  <c r="AS8"/>
  <c r="AV8" s="1"/>
  <c r="AR8"/>
  <c r="AQ8"/>
  <c r="AU8" s="1"/>
  <c r="AP8"/>
  <c r="AO8"/>
  <c r="AN8"/>
  <c r="AM8"/>
  <c r="AL8"/>
  <c r="AK8"/>
  <c r="AJ8"/>
  <c r="AI8"/>
  <c r="AE8"/>
  <c r="AD8"/>
  <c r="AD111" s="1"/>
  <c r="AD118" s="1"/>
  <c r="AC8"/>
  <c r="AB8"/>
  <c r="AB111" s="1"/>
  <c r="AB118" s="1"/>
  <c r="AA8"/>
  <c r="Z8"/>
  <c r="Y8"/>
  <c r="X8"/>
  <c r="X111" s="1"/>
  <c r="X118" s="1"/>
  <c r="W8"/>
  <c r="V8"/>
  <c r="U8"/>
  <c r="T8"/>
  <c r="T111" s="1"/>
  <c r="T118" s="1"/>
  <c r="S8"/>
  <c r="R8"/>
  <c r="Q8"/>
  <c r="P8"/>
  <c r="O8"/>
  <c r="N8"/>
  <c r="M8"/>
  <c r="L8"/>
  <c r="J8"/>
  <c r="H8"/>
  <c r="H111" s="1"/>
  <c r="H118" s="1"/>
  <c r="G8"/>
  <c r="E8"/>
  <c r="AR62" i="85"/>
  <c r="AR61"/>
  <c r="AR113" s="1"/>
  <c r="AR60"/>
  <c r="AQ62"/>
  <c r="AQ61"/>
  <c r="AQ60"/>
  <c r="AQ112" s="1"/>
  <c r="AQ83"/>
  <c r="AQ82"/>
  <c r="AQ79" s="1"/>
  <c r="AQ81"/>
  <c r="AR76"/>
  <c r="AR75"/>
  <c r="AR74"/>
  <c r="AR72" s="1"/>
  <c r="AQ76"/>
  <c r="AQ75"/>
  <c r="AQ74"/>
  <c r="AQ69"/>
  <c r="AQ68"/>
  <c r="AQ67"/>
  <c r="AQ55"/>
  <c r="AQ54"/>
  <c r="AQ53"/>
  <c r="AT116"/>
  <c r="AS116"/>
  <c r="AR116"/>
  <c r="AQ116"/>
  <c r="AP116"/>
  <c r="AO116"/>
  <c r="AN116"/>
  <c r="AM116"/>
  <c r="AL116"/>
  <c r="AK116"/>
  <c r="AJ116"/>
  <c r="AI116"/>
  <c r="AH116"/>
  <c r="AG116"/>
  <c r="AF116"/>
  <c r="AD116"/>
  <c r="AB116"/>
  <c r="Z116"/>
  <c r="Y116"/>
  <c r="X116"/>
  <c r="W116"/>
  <c r="V116"/>
  <c r="U116"/>
  <c r="T116"/>
  <c r="S116"/>
  <c r="R116"/>
  <c r="Q116"/>
  <c r="P116"/>
  <c r="O116"/>
  <c r="N116"/>
  <c r="M116"/>
  <c r="L116"/>
  <c r="K116"/>
  <c r="J116"/>
  <c r="I116"/>
  <c r="H116"/>
  <c r="E116"/>
  <c r="D116"/>
  <c r="C116"/>
  <c r="AT115"/>
  <c r="AS115"/>
  <c r="AR115"/>
  <c r="AQ115"/>
  <c r="AP115"/>
  <c r="AO115"/>
  <c r="AN115"/>
  <c r="AM115"/>
  <c r="AL115"/>
  <c r="AK115"/>
  <c r="AJ115"/>
  <c r="AH115"/>
  <c r="AF115"/>
  <c r="AD115"/>
  <c r="AC115"/>
  <c r="AB115"/>
  <c r="Z115"/>
  <c r="Y115"/>
  <c r="X115"/>
  <c r="U115"/>
  <c r="T115"/>
  <c r="M115"/>
  <c r="L115"/>
  <c r="I115"/>
  <c r="H115"/>
  <c r="F115"/>
  <c r="E115"/>
  <c r="D115"/>
  <c r="C115"/>
  <c r="AT114"/>
  <c r="AS114"/>
  <c r="AP114"/>
  <c r="AO114"/>
  <c r="AN114"/>
  <c r="AL114"/>
  <c r="AK114"/>
  <c r="AH114"/>
  <c r="AG114"/>
  <c r="AF114"/>
  <c r="AB114"/>
  <c r="Z114"/>
  <c r="Y114"/>
  <c r="X114"/>
  <c r="V114"/>
  <c r="T114"/>
  <c r="R114"/>
  <c r="Q114"/>
  <c r="P114"/>
  <c r="N114"/>
  <c r="M114"/>
  <c r="L114"/>
  <c r="J114"/>
  <c r="I114"/>
  <c r="H114"/>
  <c r="F114"/>
  <c r="E114"/>
  <c r="D114"/>
  <c r="C114"/>
  <c r="AT113"/>
  <c r="AS113"/>
  <c r="AP113"/>
  <c r="AO113"/>
  <c r="AL113"/>
  <c r="AK113"/>
  <c r="AJ113"/>
  <c r="AH113"/>
  <c r="AG113"/>
  <c r="AD113"/>
  <c r="AC113"/>
  <c r="AB113"/>
  <c r="Z113"/>
  <c r="Y113"/>
  <c r="X113"/>
  <c r="V113"/>
  <c r="U113"/>
  <c r="T113"/>
  <c r="R113"/>
  <c r="Q113"/>
  <c r="P113"/>
  <c r="N113"/>
  <c r="M113"/>
  <c r="L113"/>
  <c r="J113"/>
  <c r="I113"/>
  <c r="H113"/>
  <c r="F113"/>
  <c r="E113"/>
  <c r="D113"/>
  <c r="C113"/>
  <c r="AT112"/>
  <c r="AS112"/>
  <c r="AP112"/>
  <c r="AO112"/>
  <c r="AN112"/>
  <c r="AL112"/>
  <c r="AK112"/>
  <c r="AH112"/>
  <c r="AG112"/>
  <c r="Y112"/>
  <c r="X112"/>
  <c r="T112"/>
  <c r="M112"/>
  <c r="L112"/>
  <c r="E112"/>
  <c r="D112"/>
  <c r="C112"/>
  <c r="C111"/>
  <c r="C118" s="1"/>
  <c r="C121" s="1"/>
  <c r="D109"/>
  <c r="C109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AT100"/>
  <c r="AS100"/>
  <c r="AV100" s="1"/>
  <c r="AR100"/>
  <c r="AQ100"/>
  <c r="AU100" s="1"/>
  <c r="AP100"/>
  <c r="AO100"/>
  <c r="AN100"/>
  <c r="AM100"/>
  <c r="AL100"/>
  <c r="AK100"/>
  <c r="AJ100"/>
  <c r="AI100"/>
  <c r="AH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I99"/>
  <c r="I93" s="1"/>
  <c r="G99"/>
  <c r="G116" s="1"/>
  <c r="AA98"/>
  <c r="AC97"/>
  <c r="AC96"/>
  <c r="AA96"/>
  <c r="AD95"/>
  <c r="AD112" s="1"/>
  <c r="AC95"/>
  <c r="AC93" s="1"/>
  <c r="AB95"/>
  <c r="AB112" s="1"/>
  <c r="AA95"/>
  <c r="X95"/>
  <c r="W95"/>
  <c r="V95"/>
  <c r="U95"/>
  <c r="T95"/>
  <c r="S95"/>
  <c r="P95"/>
  <c r="P112" s="1"/>
  <c r="O95"/>
  <c r="L95"/>
  <c r="K95"/>
  <c r="J95"/>
  <c r="J112" s="1"/>
  <c r="I95"/>
  <c r="H95"/>
  <c r="G95"/>
  <c r="F95"/>
  <c r="AP93"/>
  <c r="AO93"/>
  <c r="AN93"/>
  <c r="AM93"/>
  <c r="AL93"/>
  <c r="AK93"/>
  <c r="AJ93"/>
  <c r="AI93"/>
  <c r="AE93"/>
  <c r="AD93"/>
  <c r="AA93"/>
  <c r="Z93"/>
  <c r="Y93"/>
  <c r="X93"/>
  <c r="W93"/>
  <c r="V93"/>
  <c r="U93"/>
  <c r="T93"/>
  <c r="S93"/>
  <c r="R93"/>
  <c r="Q93"/>
  <c r="O93"/>
  <c r="N93"/>
  <c r="M93"/>
  <c r="L93"/>
  <c r="K93"/>
  <c r="J93"/>
  <c r="H93"/>
  <c r="G93"/>
  <c r="F93"/>
  <c r="E93"/>
  <c r="D93"/>
  <c r="AV86"/>
  <c r="Z86"/>
  <c r="Y86"/>
  <c r="AU86" s="1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AC84"/>
  <c r="AA84"/>
  <c r="AA115" s="1"/>
  <c r="W84"/>
  <c r="Q84"/>
  <c r="Q79" s="1"/>
  <c r="P84"/>
  <c r="P115" s="1"/>
  <c r="O84"/>
  <c r="L84"/>
  <c r="K84"/>
  <c r="J84"/>
  <c r="I84"/>
  <c r="H84"/>
  <c r="G84"/>
  <c r="AM83"/>
  <c r="AI83"/>
  <c r="AE83"/>
  <c r="AC83"/>
  <c r="AA83"/>
  <c r="AI82"/>
  <c r="AI79" s="1"/>
  <c r="AE82"/>
  <c r="AC82"/>
  <c r="AA82"/>
  <c r="AM81"/>
  <c r="AM79" s="1"/>
  <c r="AI81"/>
  <c r="AE81"/>
  <c r="AC81"/>
  <c r="AC79" s="1"/>
  <c r="AA81"/>
  <c r="Z81"/>
  <c r="Z112" s="1"/>
  <c r="W81"/>
  <c r="U81"/>
  <c r="U79" s="1"/>
  <c r="S81"/>
  <c r="P81"/>
  <c r="O81"/>
  <c r="N81"/>
  <c r="N79" s="1"/>
  <c r="M81"/>
  <c r="M79" s="1"/>
  <c r="K81"/>
  <c r="I81"/>
  <c r="H81"/>
  <c r="H112" s="1"/>
  <c r="G81"/>
  <c r="AT79"/>
  <c r="AS79"/>
  <c r="AV79" s="1"/>
  <c r="AR79"/>
  <c r="AP79"/>
  <c r="AO79"/>
  <c r="AN79"/>
  <c r="AL79"/>
  <c r="AK79"/>
  <c r="AG79"/>
  <c r="AE79"/>
  <c r="AD79"/>
  <c r="AB79"/>
  <c r="AA79"/>
  <c r="Z79"/>
  <c r="Y79"/>
  <c r="X79"/>
  <c r="W79"/>
  <c r="V79"/>
  <c r="T79"/>
  <c r="S79"/>
  <c r="R79"/>
  <c r="O79"/>
  <c r="L79"/>
  <c r="K79"/>
  <c r="J79"/>
  <c r="I79"/>
  <c r="G79"/>
  <c r="F79"/>
  <c r="E79"/>
  <c r="AE78"/>
  <c r="AC78"/>
  <c r="AI77"/>
  <c r="AE77"/>
  <c r="W77"/>
  <c r="O77"/>
  <c r="AN76"/>
  <c r="AM76"/>
  <c r="AI76"/>
  <c r="AF76"/>
  <c r="AE76"/>
  <c r="AD76"/>
  <c r="AD114" s="1"/>
  <c r="AC76"/>
  <c r="AA76"/>
  <c r="W76"/>
  <c r="W114" s="1"/>
  <c r="U76"/>
  <c r="U114" s="1"/>
  <c r="S76"/>
  <c r="S114" s="1"/>
  <c r="Q76"/>
  <c r="O76"/>
  <c r="O114" s="1"/>
  <c r="K76"/>
  <c r="K114" s="1"/>
  <c r="I76"/>
  <c r="G76"/>
  <c r="G114" s="1"/>
  <c r="AN75"/>
  <c r="AN72" s="1"/>
  <c r="AM75"/>
  <c r="AI75"/>
  <c r="AF75"/>
  <c r="AF72" s="1"/>
  <c r="AE75"/>
  <c r="AE72" s="1"/>
  <c r="AC75"/>
  <c r="AA75"/>
  <c r="W75"/>
  <c r="W113" s="1"/>
  <c r="U75"/>
  <c r="S75"/>
  <c r="S113" s="1"/>
  <c r="Q75"/>
  <c r="O75"/>
  <c r="O113" s="1"/>
  <c r="K75"/>
  <c r="K113" s="1"/>
  <c r="I75"/>
  <c r="G75"/>
  <c r="G113" s="1"/>
  <c r="AN74"/>
  <c r="AM74"/>
  <c r="AI74"/>
  <c r="AF74"/>
  <c r="AF112" s="1"/>
  <c r="AE74"/>
  <c r="AC74"/>
  <c r="AA74"/>
  <c r="AA72" s="1"/>
  <c r="W74"/>
  <c r="W72" s="1"/>
  <c r="V74"/>
  <c r="U74"/>
  <c r="S74"/>
  <c r="S72" s="1"/>
  <c r="Q74"/>
  <c r="O74"/>
  <c r="M74"/>
  <c r="K74"/>
  <c r="K72" s="1"/>
  <c r="I74"/>
  <c r="G74"/>
  <c r="AT72"/>
  <c r="AS72"/>
  <c r="AV72" s="1"/>
  <c r="AQ72"/>
  <c r="AU72" s="1"/>
  <c r="AP72"/>
  <c r="AO72"/>
  <c r="AM72"/>
  <c r="AL72"/>
  <c r="AK72"/>
  <c r="AJ72"/>
  <c r="AI72"/>
  <c r="AC72"/>
  <c r="AB72"/>
  <c r="Z72"/>
  <c r="Y72"/>
  <c r="X72"/>
  <c r="V72"/>
  <c r="U72"/>
  <c r="T72"/>
  <c r="R72"/>
  <c r="Q72"/>
  <c r="P72"/>
  <c r="N72"/>
  <c r="M72"/>
  <c r="L72"/>
  <c r="J72"/>
  <c r="I72"/>
  <c r="H72"/>
  <c r="G72"/>
  <c r="F72"/>
  <c r="E72"/>
  <c r="D72"/>
  <c r="AE69"/>
  <c r="AE68"/>
  <c r="AM67"/>
  <c r="AI67"/>
  <c r="AI65" s="1"/>
  <c r="AE67"/>
  <c r="AE65" s="1"/>
  <c r="AT65"/>
  <c r="AS65"/>
  <c r="AV65" s="1"/>
  <c r="AR65"/>
  <c r="AP65"/>
  <c r="AO65"/>
  <c r="AN65"/>
  <c r="AM65"/>
  <c r="AL65"/>
  <c r="AK65"/>
  <c r="AJ65"/>
  <c r="AH65"/>
  <c r="AF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AF64"/>
  <c r="AE64"/>
  <c r="AE116" s="1"/>
  <c r="AC64"/>
  <c r="AC116" s="1"/>
  <c r="AA64"/>
  <c r="AA116" s="1"/>
  <c r="AK63"/>
  <c r="AI63"/>
  <c r="AI115" s="1"/>
  <c r="AG63"/>
  <c r="AG115" s="1"/>
  <c r="AE63"/>
  <c r="AE115" s="1"/>
  <c r="X63"/>
  <c r="W63"/>
  <c r="W115" s="1"/>
  <c r="V63"/>
  <c r="V115" s="1"/>
  <c r="U63"/>
  <c r="T63"/>
  <c r="S63"/>
  <c r="S115" s="1"/>
  <c r="R63"/>
  <c r="R115" s="1"/>
  <c r="Q63"/>
  <c r="P63"/>
  <c r="O63"/>
  <c r="O115" s="1"/>
  <c r="N63"/>
  <c r="N115" s="1"/>
  <c r="M63"/>
  <c r="L63"/>
  <c r="K63"/>
  <c r="K115" s="1"/>
  <c r="J63"/>
  <c r="J115" s="1"/>
  <c r="I63"/>
  <c r="H63"/>
  <c r="G63"/>
  <c r="G115" s="1"/>
  <c r="AR114"/>
  <c r="AQ114"/>
  <c r="AN62"/>
  <c r="AM62"/>
  <c r="AM114" s="1"/>
  <c r="AJ62"/>
  <c r="AJ114" s="1"/>
  <c r="AI62"/>
  <c r="AI114" s="1"/>
  <c r="AF62"/>
  <c r="AE62"/>
  <c r="AC62"/>
  <c r="AC114" s="1"/>
  <c r="AA62"/>
  <c r="AA114" s="1"/>
  <c r="AN61"/>
  <c r="AN58" s="1"/>
  <c r="AM61"/>
  <c r="AM113" s="1"/>
  <c r="AJ61"/>
  <c r="AI61"/>
  <c r="AI113" s="1"/>
  <c r="AF61"/>
  <c r="AF58" s="1"/>
  <c r="AE61"/>
  <c r="AE58" s="1"/>
  <c r="AC61"/>
  <c r="AA61"/>
  <c r="AA113" s="1"/>
  <c r="AN60"/>
  <c r="AM60"/>
  <c r="AJ60"/>
  <c r="AJ58" s="1"/>
  <c r="AI60"/>
  <c r="AI58" s="1"/>
  <c r="AF60"/>
  <c r="AE60"/>
  <c r="AC60"/>
  <c r="AC112" s="1"/>
  <c r="AA60"/>
  <c r="AA112" s="1"/>
  <c r="X60"/>
  <c r="W60"/>
  <c r="W112" s="1"/>
  <c r="V60"/>
  <c r="V112" s="1"/>
  <c r="U60"/>
  <c r="S60"/>
  <c r="R60"/>
  <c r="R112" s="1"/>
  <c r="Q60"/>
  <c r="Q58" s="1"/>
  <c r="F60"/>
  <c r="F112" s="1"/>
  <c r="AT58"/>
  <c r="AS58"/>
  <c r="AV58" s="1"/>
  <c r="AP58"/>
  <c r="AO58"/>
  <c r="AL58"/>
  <c r="AK58"/>
  <c r="AH58"/>
  <c r="AD58"/>
  <c r="AB58"/>
  <c r="Z58"/>
  <c r="Y58"/>
  <c r="X58"/>
  <c r="W58"/>
  <c r="V58"/>
  <c r="U58"/>
  <c r="T58"/>
  <c r="S58"/>
  <c r="R58"/>
  <c r="P58"/>
  <c r="O58"/>
  <c r="N58"/>
  <c r="M58"/>
  <c r="L58"/>
  <c r="K58"/>
  <c r="J58"/>
  <c r="I58"/>
  <c r="H58"/>
  <c r="G58"/>
  <c r="F58"/>
  <c r="E58"/>
  <c r="AM53"/>
  <c r="AM112" s="1"/>
  <c r="AI53"/>
  <c r="AE53"/>
  <c r="AE51" s="1"/>
  <c r="AC53"/>
  <c r="S53"/>
  <c r="S112" s="1"/>
  <c r="AT51"/>
  <c r="AS51"/>
  <c r="AV51" s="1"/>
  <c r="AR51"/>
  <c r="AP51"/>
  <c r="AO51"/>
  <c r="AN51"/>
  <c r="AM51"/>
  <c r="AL51"/>
  <c r="AK51"/>
  <c r="AJ51"/>
  <c r="AI51"/>
  <c r="AI111" s="1"/>
  <c r="AI118" s="1"/>
  <c r="AH51"/>
  <c r="AH111" s="1"/>
  <c r="AH118" s="1"/>
  <c r="AF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D111" s="1"/>
  <c r="D118" s="1"/>
  <c r="D121" s="1"/>
  <c r="C51"/>
  <c r="AV45"/>
  <c r="AT45"/>
  <c r="AS45"/>
  <c r="AR45"/>
  <c r="AQ45"/>
  <c r="AU45" s="1"/>
  <c r="AP45"/>
  <c r="AO45"/>
  <c r="AN45"/>
  <c r="AM45"/>
  <c r="AT39"/>
  <c r="AS39"/>
  <c r="AV39" s="1"/>
  <c r="AR39"/>
  <c r="AQ39"/>
  <c r="AU39" s="1"/>
  <c r="AP39"/>
  <c r="AO39"/>
  <c r="AN39"/>
  <c r="AM39"/>
  <c r="AV33"/>
  <c r="AT33"/>
  <c r="AS33"/>
  <c r="AR33"/>
  <c r="AQ33"/>
  <c r="AU33" s="1"/>
  <c r="AP33"/>
  <c r="AO33"/>
  <c r="AN33"/>
  <c r="AM33"/>
  <c r="AL33"/>
  <c r="AK33"/>
  <c r="AJ33"/>
  <c r="AI33"/>
  <c r="AT27"/>
  <c r="AS27"/>
  <c r="AV27" s="1"/>
  <c r="AR27"/>
  <c r="AQ27"/>
  <c r="AU27" s="1"/>
  <c r="AP27"/>
  <c r="AO27"/>
  <c r="AN27"/>
  <c r="AM27"/>
  <c r="AL27"/>
  <c r="AJ27"/>
  <c r="AI27"/>
  <c r="AI22"/>
  <c r="AV21"/>
  <c r="AT21"/>
  <c r="AS21"/>
  <c r="AR21"/>
  <c r="AQ21"/>
  <c r="AU21" s="1"/>
  <c r="AP21"/>
  <c r="AO21"/>
  <c r="AN21"/>
  <c r="AM21"/>
  <c r="AL21"/>
  <c r="AK21"/>
  <c r="AJ21"/>
  <c r="AI21"/>
  <c r="AT15"/>
  <c r="AS15"/>
  <c r="AR15"/>
  <c r="AQ15"/>
  <c r="AU15" s="1"/>
  <c r="AP15"/>
  <c r="AO15"/>
  <c r="AV15" s="1"/>
  <c r="AN15"/>
  <c r="AM15"/>
  <c r="F14"/>
  <c r="F8" s="1"/>
  <c r="AE12"/>
  <c r="AE114" s="1"/>
  <c r="AE11"/>
  <c r="AE113" s="1"/>
  <c r="AI10"/>
  <c r="AI112" s="1"/>
  <c r="AE10"/>
  <c r="AE112" s="1"/>
  <c r="O10"/>
  <c r="O112" s="1"/>
  <c r="M10"/>
  <c r="K10"/>
  <c r="K112" s="1"/>
  <c r="I10"/>
  <c r="I8" s="1"/>
  <c r="G10"/>
  <c r="G112" s="1"/>
  <c r="AT8"/>
  <c r="AT111" s="1"/>
  <c r="AT118" s="1"/>
  <c r="AS8"/>
  <c r="AS111" s="1"/>
  <c r="AR8"/>
  <c r="AQ8"/>
  <c r="AU8" s="1"/>
  <c r="AP8"/>
  <c r="AP111" s="1"/>
  <c r="AP118" s="1"/>
  <c r="AO8"/>
  <c r="AO111" s="1"/>
  <c r="AO118" s="1"/>
  <c r="AN8"/>
  <c r="AM8"/>
  <c r="AL8"/>
  <c r="AL111" s="1"/>
  <c r="AL118" s="1"/>
  <c r="AK8"/>
  <c r="AK111" s="1"/>
  <c r="AK118" s="1"/>
  <c r="AJ8"/>
  <c r="AI8"/>
  <c r="AE8"/>
  <c r="AE111" s="1"/>
  <c r="AE118" s="1"/>
  <c r="AD8"/>
  <c r="AC8"/>
  <c r="AB8"/>
  <c r="AA8"/>
  <c r="Z8"/>
  <c r="Y8"/>
  <c r="X8"/>
  <c r="W8"/>
  <c r="W111" s="1"/>
  <c r="W118" s="1"/>
  <c r="V8"/>
  <c r="U8"/>
  <c r="T8"/>
  <c r="S8"/>
  <c r="S111" s="1"/>
  <c r="S118" s="1"/>
  <c r="R8"/>
  <c r="Q8"/>
  <c r="P8"/>
  <c r="O8"/>
  <c r="N8"/>
  <c r="N111" s="1"/>
  <c r="N118" s="1"/>
  <c r="M8"/>
  <c r="L8"/>
  <c r="K8"/>
  <c r="K111" s="1"/>
  <c r="K118" s="1"/>
  <c r="J8"/>
  <c r="J111" s="1"/>
  <c r="J118" s="1"/>
  <c r="H8"/>
  <c r="G8"/>
  <c r="E8"/>
  <c r="E111" s="1"/>
  <c r="E118" s="1"/>
  <c r="AR61" i="84"/>
  <c r="AR62"/>
  <c r="AR60"/>
  <c r="AQ62"/>
  <c r="AQ61"/>
  <c r="AQ60"/>
  <c r="AQ83"/>
  <c r="AQ82"/>
  <c r="AQ81"/>
  <c r="AQ69"/>
  <c r="AQ68"/>
  <c r="AQ67"/>
  <c r="AQ69" i="83"/>
  <c r="AR76" i="84"/>
  <c r="AR75"/>
  <c r="AR72" s="1"/>
  <c r="AR74"/>
  <c r="AQ76"/>
  <c r="AQ72" s="1"/>
  <c r="AU72" s="1"/>
  <c r="AQ75"/>
  <c r="AQ74"/>
  <c r="AT116"/>
  <c r="AS116"/>
  <c r="AR116"/>
  <c r="AQ116"/>
  <c r="AP116"/>
  <c r="AO116"/>
  <c r="AN116"/>
  <c r="AM116"/>
  <c r="AL116"/>
  <c r="AK116"/>
  <c r="AJ116"/>
  <c r="AI116"/>
  <c r="AH116"/>
  <c r="AG116"/>
  <c r="AD116"/>
  <c r="AB116"/>
  <c r="Z116"/>
  <c r="Y116"/>
  <c r="X116"/>
  <c r="W116"/>
  <c r="V116"/>
  <c r="U116"/>
  <c r="T116"/>
  <c r="S116"/>
  <c r="R116"/>
  <c r="Q116"/>
  <c r="P116"/>
  <c r="O116"/>
  <c r="N116"/>
  <c r="M116"/>
  <c r="L116"/>
  <c r="K116"/>
  <c r="J116"/>
  <c r="I116"/>
  <c r="H116"/>
  <c r="E116"/>
  <c r="D116"/>
  <c r="C116"/>
  <c r="AT115"/>
  <c r="AS115"/>
  <c r="AR115"/>
  <c r="AQ115"/>
  <c r="AP115"/>
  <c r="AO115"/>
  <c r="AN115"/>
  <c r="AM115"/>
  <c r="AL115"/>
  <c r="AK115"/>
  <c r="AJ115"/>
  <c r="AH115"/>
  <c r="AF115"/>
  <c r="AD115"/>
  <c r="AC115"/>
  <c r="AB115"/>
  <c r="Z115"/>
  <c r="Y115"/>
  <c r="F115"/>
  <c r="E115"/>
  <c r="D115"/>
  <c r="C115"/>
  <c r="AT114"/>
  <c r="AS114"/>
  <c r="AP114"/>
  <c r="AO114"/>
  <c r="AL114"/>
  <c r="AK114"/>
  <c r="AH114"/>
  <c r="AG114"/>
  <c r="AD114"/>
  <c r="AB114"/>
  <c r="Z114"/>
  <c r="Y114"/>
  <c r="X114"/>
  <c r="V114"/>
  <c r="T114"/>
  <c r="R114"/>
  <c r="Q114"/>
  <c r="P114"/>
  <c r="N114"/>
  <c r="M114"/>
  <c r="L114"/>
  <c r="J114"/>
  <c r="I114"/>
  <c r="H114"/>
  <c r="F114"/>
  <c r="E114"/>
  <c r="D114"/>
  <c r="C114"/>
  <c r="AT113"/>
  <c r="AS113"/>
  <c r="AP113"/>
  <c r="AO113"/>
  <c r="AL113"/>
  <c r="AK113"/>
  <c r="AH113"/>
  <c r="AG113"/>
  <c r="AD113"/>
  <c r="AC113"/>
  <c r="AB113"/>
  <c r="Z113"/>
  <c r="Y113"/>
  <c r="X113"/>
  <c r="V113"/>
  <c r="U113"/>
  <c r="T113"/>
  <c r="R113"/>
  <c r="P113"/>
  <c r="N113"/>
  <c r="M113"/>
  <c r="L113"/>
  <c r="J113"/>
  <c r="I113"/>
  <c r="H113"/>
  <c r="F113"/>
  <c r="E113"/>
  <c r="D113"/>
  <c r="C113"/>
  <c r="AT112"/>
  <c r="AS112"/>
  <c r="AP112"/>
  <c r="AO112"/>
  <c r="AL112"/>
  <c r="AK112"/>
  <c r="AH112"/>
  <c r="AG112"/>
  <c r="Z112"/>
  <c r="Y112"/>
  <c r="R112"/>
  <c r="N112"/>
  <c r="J112"/>
  <c r="F112"/>
  <c r="E112"/>
  <c r="D112"/>
  <c r="C112"/>
  <c r="C111"/>
  <c r="C118" s="1"/>
  <c r="C121" s="1"/>
  <c r="D109"/>
  <c r="C109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AT100"/>
  <c r="AS100"/>
  <c r="AV100" s="1"/>
  <c r="AR100"/>
  <c r="AQ100"/>
  <c r="AU100" s="1"/>
  <c r="AP100"/>
  <c r="AO100"/>
  <c r="AN100"/>
  <c r="AM100"/>
  <c r="AL100"/>
  <c r="AK100"/>
  <c r="AJ100"/>
  <c r="AI100"/>
  <c r="AH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I99"/>
  <c r="G99"/>
  <c r="G116" s="1"/>
  <c r="AA98"/>
  <c r="AA93" s="1"/>
  <c r="AC97"/>
  <c r="AC96"/>
  <c r="AA96"/>
  <c r="AD95"/>
  <c r="AD112" s="1"/>
  <c r="AC95"/>
  <c r="AC93" s="1"/>
  <c r="AB95"/>
  <c r="AB112" s="1"/>
  <c r="AA95"/>
  <c r="X95"/>
  <c r="W95"/>
  <c r="V95"/>
  <c r="U95"/>
  <c r="T95"/>
  <c r="T112" s="1"/>
  <c r="S95"/>
  <c r="P95"/>
  <c r="O95"/>
  <c r="L95"/>
  <c r="L112" s="1"/>
  <c r="K95"/>
  <c r="J95"/>
  <c r="I95"/>
  <c r="H95"/>
  <c r="G95"/>
  <c r="F95"/>
  <c r="AP93"/>
  <c r="AO93"/>
  <c r="AN93"/>
  <c r="AM93"/>
  <c r="AL93"/>
  <c r="AK93"/>
  <c r="AJ93"/>
  <c r="AI93"/>
  <c r="AE93"/>
  <c r="AB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Z86"/>
  <c r="AV86" s="1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AC84"/>
  <c r="AA84"/>
  <c r="AA115" s="1"/>
  <c r="W84"/>
  <c r="Q84"/>
  <c r="Q79" s="1"/>
  <c r="P84"/>
  <c r="O84"/>
  <c r="L84"/>
  <c r="K84"/>
  <c r="J84"/>
  <c r="I84"/>
  <c r="H84"/>
  <c r="G84"/>
  <c r="AM83"/>
  <c r="AI83"/>
  <c r="AE83"/>
  <c r="AC83"/>
  <c r="AA83"/>
  <c r="AI82"/>
  <c r="AI79" s="1"/>
  <c r="AE82"/>
  <c r="AC82"/>
  <c r="AA82"/>
  <c r="AA79" s="1"/>
  <c r="AM81"/>
  <c r="AI81"/>
  <c r="AE81"/>
  <c r="AE79" s="1"/>
  <c r="AC81"/>
  <c r="AC79" s="1"/>
  <c r="AA81"/>
  <c r="Z81"/>
  <c r="W81"/>
  <c r="W79" s="1"/>
  <c r="U81"/>
  <c r="U79" s="1"/>
  <c r="S81"/>
  <c r="P81"/>
  <c r="P112" s="1"/>
  <c r="O81"/>
  <c r="O79" s="1"/>
  <c r="N81"/>
  <c r="N79" s="1"/>
  <c r="M81"/>
  <c r="K81"/>
  <c r="I81"/>
  <c r="I79" s="1"/>
  <c r="H81"/>
  <c r="H112" s="1"/>
  <c r="G81"/>
  <c r="AT79"/>
  <c r="AS79"/>
  <c r="AV79" s="1"/>
  <c r="AR79"/>
  <c r="AQ79"/>
  <c r="AU79" s="1"/>
  <c r="AP79"/>
  <c r="AO79"/>
  <c r="AN79"/>
  <c r="AM79"/>
  <c r="AL79"/>
  <c r="AK79"/>
  <c r="AG79"/>
  <c r="AD79"/>
  <c r="AB79"/>
  <c r="AB111" s="1"/>
  <c r="AB118" s="1"/>
  <c r="Z79"/>
  <c r="Y79"/>
  <c r="X79"/>
  <c r="X111" s="1"/>
  <c r="X118" s="1"/>
  <c r="V79"/>
  <c r="T79"/>
  <c r="T111" s="1"/>
  <c r="T118" s="1"/>
  <c r="S79"/>
  <c r="R79"/>
  <c r="P79"/>
  <c r="P111" s="1"/>
  <c r="P118" s="1"/>
  <c r="M79"/>
  <c r="L79"/>
  <c r="L111" s="1"/>
  <c r="L118" s="1"/>
  <c r="K79"/>
  <c r="J79"/>
  <c r="H79"/>
  <c r="H111" s="1"/>
  <c r="H118" s="1"/>
  <c r="G79"/>
  <c r="F79"/>
  <c r="E79"/>
  <c r="AE78"/>
  <c r="AC78"/>
  <c r="AI77"/>
  <c r="AE77"/>
  <c r="W77"/>
  <c r="O77"/>
  <c r="AN76"/>
  <c r="AM76"/>
  <c r="AI76"/>
  <c r="AF76"/>
  <c r="AE76"/>
  <c r="AE72" s="1"/>
  <c r="AD76"/>
  <c r="AC76"/>
  <c r="AA76"/>
  <c r="W76"/>
  <c r="W114" s="1"/>
  <c r="U76"/>
  <c r="U114" s="1"/>
  <c r="S76"/>
  <c r="S114" s="1"/>
  <c r="Q76"/>
  <c r="O76"/>
  <c r="O114" s="1"/>
  <c r="K76"/>
  <c r="K114" s="1"/>
  <c r="I76"/>
  <c r="G76"/>
  <c r="G114" s="1"/>
  <c r="AN75"/>
  <c r="AM75"/>
  <c r="AI75"/>
  <c r="AI72" s="1"/>
  <c r="AF75"/>
  <c r="AF72" s="1"/>
  <c r="AE75"/>
  <c r="AC75"/>
  <c r="AA75"/>
  <c r="W75"/>
  <c r="W113" s="1"/>
  <c r="U75"/>
  <c r="S75"/>
  <c r="S113" s="1"/>
  <c r="Q75"/>
  <c r="Q113" s="1"/>
  <c r="O75"/>
  <c r="O113" s="1"/>
  <c r="K75"/>
  <c r="K113" s="1"/>
  <c r="I75"/>
  <c r="G75"/>
  <c r="G113" s="1"/>
  <c r="AN74"/>
  <c r="AM74"/>
  <c r="AM72" s="1"/>
  <c r="AI74"/>
  <c r="AF74"/>
  <c r="AE74"/>
  <c r="AC74"/>
  <c r="AC72" s="1"/>
  <c r="AA74"/>
  <c r="AA72" s="1"/>
  <c r="W74"/>
  <c r="V74"/>
  <c r="U74"/>
  <c r="U72" s="1"/>
  <c r="S74"/>
  <c r="S72" s="1"/>
  <c r="Q74"/>
  <c r="O74"/>
  <c r="M74"/>
  <c r="M72" s="1"/>
  <c r="K74"/>
  <c r="K72" s="1"/>
  <c r="I74"/>
  <c r="G74"/>
  <c r="AV72"/>
  <c r="AT72"/>
  <c r="AS72"/>
  <c r="AP72"/>
  <c r="AO72"/>
  <c r="AN72"/>
  <c r="AL72"/>
  <c r="AK72"/>
  <c r="AJ72"/>
  <c r="AD72"/>
  <c r="AB72"/>
  <c r="Z72"/>
  <c r="Y72"/>
  <c r="X72"/>
  <c r="V72"/>
  <c r="T72"/>
  <c r="R72"/>
  <c r="P72"/>
  <c r="N72"/>
  <c r="L72"/>
  <c r="J72"/>
  <c r="I72"/>
  <c r="H72"/>
  <c r="F72"/>
  <c r="E72"/>
  <c r="D72"/>
  <c r="AE69"/>
  <c r="AE68"/>
  <c r="AM67"/>
  <c r="AI67"/>
  <c r="AI65" s="1"/>
  <c r="AE67"/>
  <c r="AE65" s="1"/>
  <c r="AT65"/>
  <c r="AS65"/>
  <c r="AV65" s="1"/>
  <c r="AR65"/>
  <c r="AP65"/>
  <c r="AO65"/>
  <c r="AN65"/>
  <c r="AM65"/>
  <c r="AL65"/>
  <c r="AK65"/>
  <c r="AJ65"/>
  <c r="AH65"/>
  <c r="AF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AF64"/>
  <c r="AF116" s="1"/>
  <c r="AE64"/>
  <c r="AE116" s="1"/>
  <c r="AC64"/>
  <c r="AC116" s="1"/>
  <c r="AA64"/>
  <c r="AA116" s="1"/>
  <c r="AK63"/>
  <c r="AI63"/>
  <c r="AI115" s="1"/>
  <c r="AG63"/>
  <c r="AG115" s="1"/>
  <c r="AE63"/>
  <c r="AE115" s="1"/>
  <c r="X63"/>
  <c r="X115" s="1"/>
  <c r="W63"/>
  <c r="W115" s="1"/>
  <c r="V63"/>
  <c r="V115" s="1"/>
  <c r="U63"/>
  <c r="U115" s="1"/>
  <c r="T63"/>
  <c r="T115" s="1"/>
  <c r="S63"/>
  <c r="S115" s="1"/>
  <c r="R63"/>
  <c r="R115" s="1"/>
  <c r="Q63"/>
  <c r="Q115" s="1"/>
  <c r="P63"/>
  <c r="P115" s="1"/>
  <c r="O63"/>
  <c r="O115" s="1"/>
  <c r="N63"/>
  <c r="N115" s="1"/>
  <c r="M63"/>
  <c r="M115" s="1"/>
  <c r="L63"/>
  <c r="L115" s="1"/>
  <c r="K63"/>
  <c r="K115" s="1"/>
  <c r="J63"/>
  <c r="J115" s="1"/>
  <c r="I63"/>
  <c r="I115" s="1"/>
  <c r="H63"/>
  <c r="H115" s="1"/>
  <c r="G63"/>
  <c r="G115" s="1"/>
  <c r="AR114"/>
  <c r="AN62"/>
  <c r="AN114" s="1"/>
  <c r="AM62"/>
  <c r="AM114" s="1"/>
  <c r="AJ62"/>
  <c r="AJ114" s="1"/>
  <c r="AI62"/>
  <c r="AI114" s="1"/>
  <c r="AF62"/>
  <c r="AF114" s="1"/>
  <c r="AE62"/>
  <c r="AC62"/>
  <c r="AC114" s="1"/>
  <c r="AA62"/>
  <c r="AA114" s="1"/>
  <c r="AN61"/>
  <c r="AN113" s="1"/>
  <c r="AM61"/>
  <c r="AM113" s="1"/>
  <c r="AJ61"/>
  <c r="AJ113" s="1"/>
  <c r="AI61"/>
  <c r="AI113" s="1"/>
  <c r="AF61"/>
  <c r="AF113" s="1"/>
  <c r="AE61"/>
  <c r="AE58" s="1"/>
  <c r="AC61"/>
  <c r="AA61"/>
  <c r="AA113" s="1"/>
  <c r="AR112"/>
  <c r="AN60"/>
  <c r="AN112" s="1"/>
  <c r="AM60"/>
  <c r="AJ60"/>
  <c r="AJ112" s="1"/>
  <c r="AI60"/>
  <c r="AI58" s="1"/>
  <c r="AF60"/>
  <c r="AF112" s="1"/>
  <c r="AE60"/>
  <c r="AC60"/>
  <c r="AC58" s="1"/>
  <c r="AA60"/>
  <c r="AA112" s="1"/>
  <c r="X60"/>
  <c r="X112" s="1"/>
  <c r="W60"/>
  <c r="W112" s="1"/>
  <c r="V60"/>
  <c r="V112" s="1"/>
  <c r="U60"/>
  <c r="U112" s="1"/>
  <c r="S60"/>
  <c r="R60"/>
  <c r="Q60"/>
  <c r="Q58" s="1"/>
  <c r="F60"/>
  <c r="AT58"/>
  <c r="AS58"/>
  <c r="AV58" s="1"/>
  <c r="AP58"/>
  <c r="AO58"/>
  <c r="AL58"/>
  <c r="AK58"/>
  <c r="AH58"/>
  <c r="AD58"/>
  <c r="AB58"/>
  <c r="Z58"/>
  <c r="Y58"/>
  <c r="X58"/>
  <c r="W58"/>
  <c r="V58"/>
  <c r="U58"/>
  <c r="T58"/>
  <c r="S58"/>
  <c r="R58"/>
  <c r="P58"/>
  <c r="O58"/>
  <c r="N58"/>
  <c r="M58"/>
  <c r="L58"/>
  <c r="K58"/>
  <c r="J58"/>
  <c r="I58"/>
  <c r="H58"/>
  <c r="G58"/>
  <c r="F58"/>
  <c r="E58"/>
  <c r="AM53"/>
  <c r="AM112" s="1"/>
  <c r="AI53"/>
  <c r="AE53"/>
  <c r="AE51" s="1"/>
  <c r="AC53"/>
  <c r="AC112" s="1"/>
  <c r="S53"/>
  <c r="S112" s="1"/>
  <c r="AT51"/>
  <c r="AS51"/>
  <c r="AV51" s="1"/>
  <c r="AR51"/>
  <c r="AQ51"/>
  <c r="AP51"/>
  <c r="AO51"/>
  <c r="AN51"/>
  <c r="AM51"/>
  <c r="AL51"/>
  <c r="AK51"/>
  <c r="AJ51"/>
  <c r="AI51"/>
  <c r="AI111" s="1"/>
  <c r="AI118" s="1"/>
  <c r="AH51"/>
  <c r="AH111" s="1"/>
  <c r="AH118" s="1"/>
  <c r="AF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AV45"/>
  <c r="AT45"/>
  <c r="AS45"/>
  <c r="AR45"/>
  <c r="AQ45"/>
  <c r="AU45" s="1"/>
  <c r="AP45"/>
  <c r="AO45"/>
  <c r="AN45"/>
  <c r="AM45"/>
  <c r="AT39"/>
  <c r="AS39"/>
  <c r="AV39" s="1"/>
  <c r="AR39"/>
  <c r="AQ39"/>
  <c r="AU39" s="1"/>
  <c r="AP39"/>
  <c r="AO39"/>
  <c r="AN39"/>
  <c r="AM39"/>
  <c r="AV33"/>
  <c r="AT33"/>
  <c r="AS33"/>
  <c r="AR33"/>
  <c r="AQ33"/>
  <c r="AU33" s="1"/>
  <c r="AP33"/>
  <c r="AO33"/>
  <c r="AN33"/>
  <c r="AM33"/>
  <c r="AL33"/>
  <c r="AK33"/>
  <c r="AJ33"/>
  <c r="AI33"/>
  <c r="AT27"/>
  <c r="AS27"/>
  <c r="AV27" s="1"/>
  <c r="AR27"/>
  <c r="AQ27"/>
  <c r="AU27" s="1"/>
  <c r="AP27"/>
  <c r="AO27"/>
  <c r="AN27"/>
  <c r="AM27"/>
  <c r="AL27"/>
  <c r="AJ27"/>
  <c r="AI27"/>
  <c r="AI22"/>
  <c r="AV21"/>
  <c r="AT21"/>
  <c r="AS21"/>
  <c r="AR21"/>
  <c r="AQ21"/>
  <c r="AU21" s="1"/>
  <c r="AP21"/>
  <c r="AO21"/>
  <c r="AN21"/>
  <c r="AM21"/>
  <c r="AL21"/>
  <c r="AK21"/>
  <c r="AJ21"/>
  <c r="AI21"/>
  <c r="AT15"/>
  <c r="AS15"/>
  <c r="AR15"/>
  <c r="AQ15"/>
  <c r="AU15" s="1"/>
  <c r="AP15"/>
  <c r="AO15"/>
  <c r="AV15" s="1"/>
  <c r="AN15"/>
  <c r="AM15"/>
  <c r="F14"/>
  <c r="F8" s="1"/>
  <c r="AE12"/>
  <c r="AE114" s="1"/>
  <c r="AE11"/>
  <c r="AE113" s="1"/>
  <c r="AI10"/>
  <c r="AI112" s="1"/>
  <c r="AE10"/>
  <c r="AE112" s="1"/>
  <c r="O10"/>
  <c r="O112" s="1"/>
  <c r="M10"/>
  <c r="K10"/>
  <c r="K112" s="1"/>
  <c r="I10"/>
  <c r="I112" s="1"/>
  <c r="G10"/>
  <c r="G112" s="1"/>
  <c r="AT8"/>
  <c r="AT111" s="1"/>
  <c r="AT118" s="1"/>
  <c r="AS8"/>
  <c r="AS111" s="1"/>
  <c r="AR8"/>
  <c r="AQ8"/>
  <c r="AU8" s="1"/>
  <c r="AP8"/>
  <c r="AP111" s="1"/>
  <c r="AP118" s="1"/>
  <c r="AO8"/>
  <c r="AO111" s="1"/>
  <c r="AO118" s="1"/>
  <c r="AN8"/>
  <c r="AM8"/>
  <c r="AL8"/>
  <c r="AL111" s="1"/>
  <c r="AL118" s="1"/>
  <c r="AK8"/>
  <c r="AK111" s="1"/>
  <c r="AK118" s="1"/>
  <c r="AJ8"/>
  <c r="AI8"/>
  <c r="AE8"/>
  <c r="AE111" s="1"/>
  <c r="AE118" s="1"/>
  <c r="AD8"/>
  <c r="AC8"/>
  <c r="AB8"/>
  <c r="AA8"/>
  <c r="Z8"/>
  <c r="Y8"/>
  <c r="X8"/>
  <c r="W8"/>
  <c r="V8"/>
  <c r="U8"/>
  <c r="T8"/>
  <c r="S8"/>
  <c r="S111" s="1"/>
  <c r="S118" s="1"/>
  <c r="R8"/>
  <c r="Q8"/>
  <c r="P8"/>
  <c r="O8"/>
  <c r="N8"/>
  <c r="M8"/>
  <c r="L8"/>
  <c r="K8"/>
  <c r="K111" s="1"/>
  <c r="K118" s="1"/>
  <c r="J8"/>
  <c r="H8"/>
  <c r="G8"/>
  <c r="E8"/>
  <c r="AR115" i="83"/>
  <c r="AR15"/>
  <c r="AR111"/>
  <c r="AR62"/>
  <c r="AR58" s="1"/>
  <c r="AR61"/>
  <c r="AR113" s="1"/>
  <c r="AR60"/>
  <c r="AR76"/>
  <c r="AR75"/>
  <c r="AR74"/>
  <c r="AR112" s="1"/>
  <c r="AQ62"/>
  <c r="AQ114" s="1"/>
  <c r="AQ61"/>
  <c r="AQ60"/>
  <c r="AQ76"/>
  <c r="AQ75"/>
  <c r="AQ74"/>
  <c r="AQ83"/>
  <c r="AQ82"/>
  <c r="AQ81"/>
  <c r="AQ67"/>
  <c r="AQ68"/>
  <c r="AV118"/>
  <c r="AS118"/>
  <c r="AQ116"/>
  <c r="AR116"/>
  <c r="AS116"/>
  <c r="AT116"/>
  <c r="AQ115"/>
  <c r="AS115"/>
  <c r="AT115"/>
  <c r="AS114"/>
  <c r="AT114"/>
  <c r="AS113"/>
  <c r="AT113"/>
  <c r="AS112"/>
  <c r="AT112"/>
  <c r="AV111"/>
  <c r="AS111"/>
  <c r="AT111"/>
  <c r="AT118" s="1"/>
  <c r="AV100"/>
  <c r="AU100"/>
  <c r="AQ100"/>
  <c r="AR100"/>
  <c r="AS100"/>
  <c r="AT100"/>
  <c r="AV79"/>
  <c r="AQ79"/>
  <c r="AU79" s="1"/>
  <c r="AR79"/>
  <c r="AS79"/>
  <c r="AT79"/>
  <c r="AN79"/>
  <c r="AV72"/>
  <c r="AQ72"/>
  <c r="AU72" s="1"/>
  <c r="AS72"/>
  <c r="AT72"/>
  <c r="AV65"/>
  <c r="AQ65"/>
  <c r="AU65" s="1"/>
  <c r="AR65"/>
  <c r="AS65"/>
  <c r="AT65"/>
  <c r="AV58"/>
  <c r="AS58"/>
  <c r="AT58"/>
  <c r="AV51"/>
  <c r="AP51"/>
  <c r="AQ51"/>
  <c r="AU51" s="1"/>
  <c r="AR51"/>
  <c r="AS51"/>
  <c r="AT51"/>
  <c r="AV45"/>
  <c r="AU45"/>
  <c r="AQ45"/>
  <c r="AR45"/>
  <c r="AS45"/>
  <c r="AT45"/>
  <c r="AV39"/>
  <c r="AV33"/>
  <c r="AQ39"/>
  <c r="AU39" s="1"/>
  <c r="AR39"/>
  <c r="AS39"/>
  <c r="AT39"/>
  <c r="AV27"/>
  <c r="AV21"/>
  <c r="AU21"/>
  <c r="AQ33"/>
  <c r="AU33" s="1"/>
  <c r="AR33"/>
  <c r="AS33"/>
  <c r="AT33"/>
  <c r="AQ27"/>
  <c r="AU27" s="1"/>
  <c r="AR27"/>
  <c r="AS27"/>
  <c r="AT27"/>
  <c r="AQ21"/>
  <c r="AR21"/>
  <c r="AS21"/>
  <c r="AT21"/>
  <c r="AQ15"/>
  <c r="AU15" s="1"/>
  <c r="AS15"/>
  <c r="AT15"/>
  <c r="AV8"/>
  <c r="AV15"/>
  <c r="AT8"/>
  <c r="AS8"/>
  <c r="AR8"/>
  <c r="AQ8"/>
  <c r="AM83"/>
  <c r="AM81"/>
  <c r="AM62"/>
  <c r="AN62"/>
  <c r="AN61"/>
  <c r="AN60"/>
  <c r="AM61"/>
  <c r="AM60"/>
  <c r="AM53"/>
  <c r="AN76"/>
  <c r="AN75"/>
  <c r="AN74"/>
  <c r="AM76"/>
  <c r="AM75"/>
  <c r="AM74"/>
  <c r="AR72" i="87" l="1"/>
  <c r="AR111" s="1"/>
  <c r="AR118" s="1"/>
  <c r="AQ72"/>
  <c r="AU72" s="1"/>
  <c r="AQ114"/>
  <c r="G111"/>
  <c r="G118" s="1"/>
  <c r="O111"/>
  <c r="O118" s="1"/>
  <c r="S111"/>
  <c r="S118" s="1"/>
  <c r="W111"/>
  <c r="W118" s="1"/>
  <c r="L111"/>
  <c r="L118" s="1"/>
  <c r="AV93"/>
  <c r="E111"/>
  <c r="E118" s="1"/>
  <c r="P111"/>
  <c r="P118" s="1"/>
  <c r="T111"/>
  <c r="T118" s="1"/>
  <c r="X111"/>
  <c r="X118" s="1"/>
  <c r="AB111"/>
  <c r="AB118" s="1"/>
  <c r="R111"/>
  <c r="R118" s="1"/>
  <c r="V111"/>
  <c r="V118" s="1"/>
  <c r="AD111"/>
  <c r="AD118" s="1"/>
  <c r="AU93"/>
  <c r="H111"/>
  <c r="H118" s="1"/>
  <c r="AK111"/>
  <c r="AK118" s="1"/>
  <c r="AO111"/>
  <c r="AO118" s="1"/>
  <c r="AI111"/>
  <c r="AI118" s="1"/>
  <c r="J111"/>
  <c r="J118" s="1"/>
  <c r="Z111"/>
  <c r="Z118" s="1"/>
  <c r="AS118"/>
  <c r="AV118" s="1"/>
  <c r="AV111"/>
  <c r="AF111"/>
  <c r="AF118" s="1"/>
  <c r="Q112"/>
  <c r="AC112"/>
  <c r="I113"/>
  <c r="AG115"/>
  <c r="P112"/>
  <c r="AB112"/>
  <c r="AN112"/>
  <c r="AF113"/>
  <c r="AN113"/>
  <c r="AV8"/>
  <c r="AA58"/>
  <c r="AA111" s="1"/>
  <c r="AA118" s="1"/>
  <c r="AM58"/>
  <c r="AM111" s="1"/>
  <c r="AF72"/>
  <c r="Z79"/>
  <c r="F116"/>
  <c r="AU8"/>
  <c r="K8"/>
  <c r="K111" s="1"/>
  <c r="K118" s="1"/>
  <c r="AJ112"/>
  <c r="AR112"/>
  <c r="AR72" i="86"/>
  <c r="AR111" s="1"/>
  <c r="AR118" s="1"/>
  <c r="AQ72"/>
  <c r="AU72" s="1"/>
  <c r="AQ114"/>
  <c r="N111"/>
  <c r="N118" s="1"/>
  <c r="V111"/>
  <c r="V118" s="1"/>
  <c r="Z111"/>
  <c r="Z118" s="1"/>
  <c r="U111"/>
  <c r="U118" s="1"/>
  <c r="AU93"/>
  <c r="G111"/>
  <c r="G118" s="1"/>
  <c r="M111"/>
  <c r="M118" s="1"/>
  <c r="AV86"/>
  <c r="L111"/>
  <c r="L118" s="1"/>
  <c r="AI111"/>
  <c r="AI118" s="1"/>
  <c r="AM111"/>
  <c r="AM118" s="1"/>
  <c r="AU86"/>
  <c r="J111"/>
  <c r="J118" s="1"/>
  <c r="AL111"/>
  <c r="AL118" s="1"/>
  <c r="AP111"/>
  <c r="AP118" s="1"/>
  <c r="AV111"/>
  <c r="AS118"/>
  <c r="AV118" s="1"/>
  <c r="O111"/>
  <c r="O118" s="1"/>
  <c r="S111"/>
  <c r="S118" s="1"/>
  <c r="W111"/>
  <c r="W118" s="1"/>
  <c r="AE111"/>
  <c r="AE118" s="1"/>
  <c r="AF111"/>
  <c r="AF118" s="1"/>
  <c r="G116"/>
  <c r="K8"/>
  <c r="K111" s="1"/>
  <c r="K118" s="1"/>
  <c r="AQ51"/>
  <c r="AU51" s="1"/>
  <c r="AV72"/>
  <c r="P79"/>
  <c r="P111" s="1"/>
  <c r="P118" s="1"/>
  <c r="V112"/>
  <c r="AD112"/>
  <c r="F8"/>
  <c r="F111" s="1"/>
  <c r="F118" s="1"/>
  <c r="R58"/>
  <c r="R111" s="1"/>
  <c r="R118" s="1"/>
  <c r="I72"/>
  <c r="I111" s="1"/>
  <c r="I118" s="1"/>
  <c r="Q72"/>
  <c r="Q111" s="1"/>
  <c r="Q118" s="1"/>
  <c r="AA93"/>
  <c r="AA111" s="1"/>
  <c r="AA118" s="1"/>
  <c r="I112"/>
  <c r="AC113"/>
  <c r="AK115"/>
  <c r="S112"/>
  <c r="AQ112"/>
  <c r="AM114"/>
  <c r="Z112"/>
  <c r="AR58" i="85"/>
  <c r="AR111" s="1"/>
  <c r="AR118" s="1"/>
  <c r="AQ65"/>
  <c r="AU65" s="1"/>
  <c r="AQ51"/>
  <c r="AU51" s="1"/>
  <c r="AQ113"/>
  <c r="F111"/>
  <c r="F118" s="1"/>
  <c r="AU93"/>
  <c r="R111"/>
  <c r="R118" s="1"/>
  <c r="Z111"/>
  <c r="Z118" s="1"/>
  <c r="G111"/>
  <c r="G118" s="1"/>
  <c r="L111"/>
  <c r="L118" s="1"/>
  <c r="T111"/>
  <c r="T118" s="1"/>
  <c r="X111"/>
  <c r="X118" s="1"/>
  <c r="V111"/>
  <c r="V118" s="1"/>
  <c r="M111"/>
  <c r="M118" s="1"/>
  <c r="U111"/>
  <c r="U118" s="1"/>
  <c r="Y111"/>
  <c r="Y118" s="1"/>
  <c r="I111"/>
  <c r="I118" s="1"/>
  <c r="AV93"/>
  <c r="AV111"/>
  <c r="AS118"/>
  <c r="AV118" s="1"/>
  <c r="O111"/>
  <c r="O118" s="1"/>
  <c r="AA111"/>
  <c r="AA118" s="1"/>
  <c r="AU79"/>
  <c r="H111"/>
  <c r="H118" s="1"/>
  <c r="Q111"/>
  <c r="Q118" s="1"/>
  <c r="AJ111"/>
  <c r="AJ118" s="1"/>
  <c r="AN111"/>
  <c r="AN118" s="1"/>
  <c r="AF111"/>
  <c r="AF118" s="1"/>
  <c r="I112"/>
  <c r="Q115"/>
  <c r="AC58"/>
  <c r="AC111" s="1"/>
  <c r="AC118" s="1"/>
  <c r="AG58"/>
  <c r="AG111" s="1"/>
  <c r="AG118" s="1"/>
  <c r="AF113"/>
  <c r="AA58"/>
  <c r="AM58"/>
  <c r="AM111" s="1"/>
  <c r="AM118" s="1"/>
  <c r="AQ58"/>
  <c r="AD72"/>
  <c r="AD111" s="1"/>
  <c r="AD118" s="1"/>
  <c r="H79"/>
  <c r="P79"/>
  <c r="P111" s="1"/>
  <c r="P118" s="1"/>
  <c r="P93"/>
  <c r="AB93"/>
  <c r="AB111" s="1"/>
  <c r="AB118" s="1"/>
  <c r="N112"/>
  <c r="F116"/>
  <c r="Q112"/>
  <c r="U112"/>
  <c r="AJ112"/>
  <c r="AR112"/>
  <c r="AN113"/>
  <c r="AV8"/>
  <c r="O72"/>
  <c r="AQ112" i="84"/>
  <c r="AQ65"/>
  <c r="AU65" s="1"/>
  <c r="AR113"/>
  <c r="AQ114"/>
  <c r="AQ113"/>
  <c r="E111"/>
  <c r="E118" s="1"/>
  <c r="AU86"/>
  <c r="AU93"/>
  <c r="J111"/>
  <c r="J118" s="1"/>
  <c r="N111"/>
  <c r="N118" s="1"/>
  <c r="R111"/>
  <c r="R118" s="1"/>
  <c r="V111"/>
  <c r="V118" s="1"/>
  <c r="Z111"/>
  <c r="Z118" s="1"/>
  <c r="D111"/>
  <c r="D118" s="1"/>
  <c r="D121" s="1"/>
  <c r="Y111"/>
  <c r="Y118" s="1"/>
  <c r="F111"/>
  <c r="F118" s="1"/>
  <c r="AV93"/>
  <c r="AS118"/>
  <c r="AV118" s="1"/>
  <c r="AV111"/>
  <c r="M111"/>
  <c r="M118" s="1"/>
  <c r="Q111"/>
  <c r="Q118" s="1"/>
  <c r="AC111"/>
  <c r="AC118" s="1"/>
  <c r="AA111"/>
  <c r="AA118" s="1"/>
  <c r="AM111"/>
  <c r="AM118" s="1"/>
  <c r="AD111"/>
  <c r="AD118" s="1"/>
  <c r="U111"/>
  <c r="U118" s="1"/>
  <c r="AU51"/>
  <c r="AG58"/>
  <c r="AG111" s="1"/>
  <c r="AG118" s="1"/>
  <c r="Q72"/>
  <c r="M112"/>
  <c r="Q112"/>
  <c r="I8"/>
  <c r="I111" s="1"/>
  <c r="I118" s="1"/>
  <c r="AV8"/>
  <c r="AF58"/>
  <c r="AF111" s="1"/>
  <c r="AF118" s="1"/>
  <c r="AJ58"/>
  <c r="AJ111" s="1"/>
  <c r="AJ118" s="1"/>
  <c r="AN58"/>
  <c r="AN111" s="1"/>
  <c r="AN118" s="1"/>
  <c r="AR58"/>
  <c r="AR111" s="1"/>
  <c r="AR118" s="1"/>
  <c r="AD93"/>
  <c r="F116"/>
  <c r="AA58"/>
  <c r="AM58"/>
  <c r="AQ58"/>
  <c r="G72"/>
  <c r="G111" s="1"/>
  <c r="G118" s="1"/>
  <c r="O72"/>
  <c r="O111" s="1"/>
  <c r="O118" s="1"/>
  <c r="W72"/>
  <c r="W111" s="1"/>
  <c r="W118" s="1"/>
  <c r="AR114" i="83"/>
  <c r="AR72"/>
  <c r="AR118" s="1"/>
  <c r="AQ58"/>
  <c r="AU58" s="1"/>
  <c r="AQ113"/>
  <c r="AQ112"/>
  <c r="AM79"/>
  <c r="AM67"/>
  <c r="AM65" s="1"/>
  <c r="AM51"/>
  <c r="AP116"/>
  <c r="AO116"/>
  <c r="AN116"/>
  <c r="AM116"/>
  <c r="AL116"/>
  <c r="AK116"/>
  <c r="AJ116"/>
  <c r="AI116"/>
  <c r="AH116"/>
  <c r="AG116"/>
  <c r="AD116"/>
  <c r="AB116"/>
  <c r="Z116"/>
  <c r="Y116"/>
  <c r="X116"/>
  <c r="W116"/>
  <c r="V116"/>
  <c r="U116"/>
  <c r="T116"/>
  <c r="S116"/>
  <c r="R116"/>
  <c r="Q116"/>
  <c r="P116"/>
  <c r="O116"/>
  <c r="N116"/>
  <c r="M116"/>
  <c r="L116"/>
  <c r="K116"/>
  <c r="J116"/>
  <c r="H116"/>
  <c r="E116"/>
  <c r="D116"/>
  <c r="C116"/>
  <c r="AP115"/>
  <c r="AO115"/>
  <c r="AN115"/>
  <c r="AM115"/>
  <c r="AL115"/>
  <c r="AJ115"/>
  <c r="AH115"/>
  <c r="AF115"/>
  <c r="AD115"/>
  <c r="AB115"/>
  <c r="Z115"/>
  <c r="Y115"/>
  <c r="T115"/>
  <c r="F115"/>
  <c r="E115"/>
  <c r="D115"/>
  <c r="C115"/>
  <c r="AP114"/>
  <c r="AO114"/>
  <c r="AL114"/>
  <c r="AK114"/>
  <c r="AH114"/>
  <c r="AG114"/>
  <c r="AB114"/>
  <c r="Z114"/>
  <c r="Y114"/>
  <c r="X114"/>
  <c r="V114"/>
  <c r="T114"/>
  <c r="R114"/>
  <c r="P114"/>
  <c r="N114"/>
  <c r="M114"/>
  <c r="L114"/>
  <c r="J114"/>
  <c r="H114"/>
  <c r="F114"/>
  <c r="E114"/>
  <c r="D114"/>
  <c r="C114"/>
  <c r="AP113"/>
  <c r="AO113"/>
  <c r="AN113"/>
  <c r="AM113"/>
  <c r="AL113"/>
  <c r="AK113"/>
  <c r="AH113"/>
  <c r="AG113"/>
  <c r="AD113"/>
  <c r="AB113"/>
  <c r="Z113"/>
  <c r="Y113"/>
  <c r="X113"/>
  <c r="V113"/>
  <c r="T113"/>
  <c r="R113"/>
  <c r="P113"/>
  <c r="N113"/>
  <c r="M113"/>
  <c r="L113"/>
  <c r="J113"/>
  <c r="H113"/>
  <c r="F113"/>
  <c r="E113"/>
  <c r="D113"/>
  <c r="C113"/>
  <c r="AP112"/>
  <c r="AO112"/>
  <c r="AN112"/>
  <c r="AL112"/>
  <c r="AK112"/>
  <c r="AH112"/>
  <c r="AG112"/>
  <c r="Y112"/>
  <c r="E112"/>
  <c r="D112"/>
  <c r="C112"/>
  <c r="D109"/>
  <c r="C109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AP100"/>
  <c r="AO100"/>
  <c r="AN100"/>
  <c r="AM100"/>
  <c r="AL100"/>
  <c r="AK100"/>
  <c r="AJ100"/>
  <c r="AI100"/>
  <c r="AH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I99"/>
  <c r="I116" s="1"/>
  <c r="G99"/>
  <c r="G116" s="1"/>
  <c r="AA98"/>
  <c r="AA93" s="1"/>
  <c r="AC97"/>
  <c r="AC96"/>
  <c r="AA96"/>
  <c r="AD95"/>
  <c r="AD112" s="1"/>
  <c r="AC95"/>
  <c r="AB95"/>
  <c r="AB93" s="1"/>
  <c r="AA95"/>
  <c r="X95"/>
  <c r="X93" s="1"/>
  <c r="W95"/>
  <c r="V95"/>
  <c r="U95"/>
  <c r="U93" s="1"/>
  <c r="T95"/>
  <c r="T112" s="1"/>
  <c r="S95"/>
  <c r="P95"/>
  <c r="P93" s="1"/>
  <c r="O95"/>
  <c r="L95"/>
  <c r="L93" s="1"/>
  <c r="K95"/>
  <c r="K93" s="1"/>
  <c r="J95"/>
  <c r="J112" s="1"/>
  <c r="I95"/>
  <c r="H95"/>
  <c r="H93" s="1"/>
  <c r="G95"/>
  <c r="F95"/>
  <c r="AP93"/>
  <c r="AO93"/>
  <c r="AN93"/>
  <c r="AM93"/>
  <c r="AL93"/>
  <c r="AK93"/>
  <c r="AJ93"/>
  <c r="AI93"/>
  <c r="AE93"/>
  <c r="AD93"/>
  <c r="Z93"/>
  <c r="Y93"/>
  <c r="W93"/>
  <c r="V93"/>
  <c r="S93"/>
  <c r="R93"/>
  <c r="Q93"/>
  <c r="O93"/>
  <c r="N93"/>
  <c r="M93"/>
  <c r="G93"/>
  <c r="F93"/>
  <c r="E93"/>
  <c r="D93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AU86" s="1"/>
  <c r="D86"/>
  <c r="AC84"/>
  <c r="AC115" s="1"/>
  <c r="AA84"/>
  <c r="AA115" s="1"/>
  <c r="W84"/>
  <c r="Q84"/>
  <c r="P84"/>
  <c r="O84"/>
  <c r="L84"/>
  <c r="L79" s="1"/>
  <c r="K84"/>
  <c r="J84"/>
  <c r="I84"/>
  <c r="H84"/>
  <c r="G84"/>
  <c r="AI83"/>
  <c r="AE83"/>
  <c r="AC83"/>
  <c r="AA83"/>
  <c r="AI82"/>
  <c r="AE82"/>
  <c r="AC82"/>
  <c r="AA82"/>
  <c r="AI81"/>
  <c r="AE81"/>
  <c r="AC81"/>
  <c r="AC79" s="1"/>
  <c r="AA81"/>
  <c r="Z81"/>
  <c r="Z112" s="1"/>
  <c r="W81"/>
  <c r="U81"/>
  <c r="U79" s="1"/>
  <c r="S81"/>
  <c r="S79" s="1"/>
  <c r="P81"/>
  <c r="P112" s="1"/>
  <c r="O81"/>
  <c r="N81"/>
  <c r="N112" s="1"/>
  <c r="M81"/>
  <c r="M79" s="1"/>
  <c r="K81"/>
  <c r="I81"/>
  <c r="H81"/>
  <c r="G81"/>
  <c r="G79" s="1"/>
  <c r="AP79"/>
  <c r="AO79"/>
  <c r="AL79"/>
  <c r="AK79"/>
  <c r="AG79"/>
  <c r="AD79"/>
  <c r="AB79"/>
  <c r="Y79"/>
  <c r="X79"/>
  <c r="V79"/>
  <c r="T79"/>
  <c r="R79"/>
  <c r="Q79"/>
  <c r="P79"/>
  <c r="K79"/>
  <c r="J79"/>
  <c r="F79"/>
  <c r="E79"/>
  <c r="AE78"/>
  <c r="AC78"/>
  <c r="AI77"/>
  <c r="AE77"/>
  <c r="W77"/>
  <c r="O77"/>
  <c r="AI76"/>
  <c r="AF76"/>
  <c r="AE76"/>
  <c r="AD76"/>
  <c r="AD114" s="1"/>
  <c r="AC76"/>
  <c r="AA76"/>
  <c r="W76"/>
  <c r="W114" s="1"/>
  <c r="U76"/>
  <c r="U114" s="1"/>
  <c r="S76"/>
  <c r="S114" s="1"/>
  <c r="Q76"/>
  <c r="Q114" s="1"/>
  <c r="O76"/>
  <c r="O114" s="1"/>
  <c r="K76"/>
  <c r="K114" s="1"/>
  <c r="I76"/>
  <c r="I114" s="1"/>
  <c r="G76"/>
  <c r="G114" s="1"/>
  <c r="AI75"/>
  <c r="AF75"/>
  <c r="AE75"/>
  <c r="AE72" s="1"/>
  <c r="AC75"/>
  <c r="AA75"/>
  <c r="W75"/>
  <c r="W113" s="1"/>
  <c r="U75"/>
  <c r="U113" s="1"/>
  <c r="S75"/>
  <c r="S113" s="1"/>
  <c r="Q75"/>
  <c r="Q113" s="1"/>
  <c r="O75"/>
  <c r="O113" s="1"/>
  <c r="K75"/>
  <c r="K113" s="1"/>
  <c r="I75"/>
  <c r="I113" s="1"/>
  <c r="G75"/>
  <c r="G113" s="1"/>
  <c r="AI74"/>
  <c r="AF74"/>
  <c r="AE74"/>
  <c r="AC74"/>
  <c r="AA74"/>
  <c r="W74"/>
  <c r="V74"/>
  <c r="V72" s="1"/>
  <c r="U74"/>
  <c r="S74"/>
  <c r="S72" s="1"/>
  <c r="Q74"/>
  <c r="O74"/>
  <c r="M74"/>
  <c r="M72" s="1"/>
  <c r="K74"/>
  <c r="K72" s="1"/>
  <c r="I74"/>
  <c r="G74"/>
  <c r="AP72"/>
  <c r="AO72"/>
  <c r="AN72"/>
  <c r="AM72"/>
  <c r="AL72"/>
  <c r="AK72"/>
  <c r="AJ72"/>
  <c r="AB72"/>
  <c r="AA72"/>
  <c r="Z72"/>
  <c r="Y72"/>
  <c r="X72"/>
  <c r="W72"/>
  <c r="T72"/>
  <c r="R72"/>
  <c r="P72"/>
  <c r="N72"/>
  <c r="L72"/>
  <c r="J72"/>
  <c r="H72"/>
  <c r="F72"/>
  <c r="E72"/>
  <c r="D72"/>
  <c r="AE69"/>
  <c r="AE68"/>
  <c r="AI67"/>
  <c r="AE67"/>
  <c r="AP65"/>
  <c r="AO65"/>
  <c r="AN65"/>
  <c r="AL65"/>
  <c r="AK65"/>
  <c r="AJ65"/>
  <c r="AI65"/>
  <c r="AH65"/>
  <c r="AF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AF64"/>
  <c r="AF116" s="1"/>
  <c r="AE64"/>
  <c r="AE116" s="1"/>
  <c r="AC64"/>
  <c r="AA64"/>
  <c r="AA116" s="1"/>
  <c r="AK63"/>
  <c r="AK115" s="1"/>
  <c r="AI63"/>
  <c r="AG63"/>
  <c r="AG115" s="1"/>
  <c r="AE63"/>
  <c r="AE115" s="1"/>
  <c r="X63"/>
  <c r="X115" s="1"/>
  <c r="W63"/>
  <c r="V63"/>
  <c r="U63"/>
  <c r="U115" s="1"/>
  <c r="T63"/>
  <c r="T58" s="1"/>
  <c r="S63"/>
  <c r="S115" s="1"/>
  <c r="R63"/>
  <c r="Q63"/>
  <c r="Q115" s="1"/>
  <c r="P63"/>
  <c r="P115" s="1"/>
  <c r="O63"/>
  <c r="O58" s="1"/>
  <c r="N63"/>
  <c r="N58" s="1"/>
  <c r="M63"/>
  <c r="M115" s="1"/>
  <c r="L63"/>
  <c r="L115" s="1"/>
  <c r="K63"/>
  <c r="K115" s="1"/>
  <c r="J63"/>
  <c r="J58" s="1"/>
  <c r="I63"/>
  <c r="I115" s="1"/>
  <c r="H63"/>
  <c r="H115" s="1"/>
  <c r="G63"/>
  <c r="G115" s="1"/>
  <c r="AN58"/>
  <c r="AM114"/>
  <c r="AJ62"/>
  <c r="AJ114" s="1"/>
  <c r="AI62"/>
  <c r="AF62"/>
  <c r="AE62"/>
  <c r="AC62"/>
  <c r="AA62"/>
  <c r="AA114" s="1"/>
  <c r="AJ61"/>
  <c r="AJ113" s="1"/>
  <c r="AI61"/>
  <c r="AI58" s="1"/>
  <c r="AF61"/>
  <c r="AE61"/>
  <c r="AC61"/>
  <c r="AA61"/>
  <c r="AM58"/>
  <c r="AJ60"/>
  <c r="AJ112" s="1"/>
  <c r="AI60"/>
  <c r="AF60"/>
  <c r="AF112" s="1"/>
  <c r="AE60"/>
  <c r="AC60"/>
  <c r="AA60"/>
  <c r="X60"/>
  <c r="X112" s="1"/>
  <c r="W60"/>
  <c r="W58" s="1"/>
  <c r="V60"/>
  <c r="V112" s="1"/>
  <c r="U60"/>
  <c r="S60"/>
  <c r="S58" s="1"/>
  <c r="R60"/>
  <c r="R112" s="1"/>
  <c r="Q60"/>
  <c r="F60"/>
  <c r="F58" s="1"/>
  <c r="AP58"/>
  <c r="AO58"/>
  <c r="AL58"/>
  <c r="AH58"/>
  <c r="AG58"/>
  <c r="AG111" s="1"/>
  <c r="AG118" s="1"/>
  <c r="AD58"/>
  <c r="AB58"/>
  <c r="Z58"/>
  <c r="Y58"/>
  <c r="P58"/>
  <c r="K58"/>
  <c r="H58"/>
  <c r="E58"/>
  <c r="AI53"/>
  <c r="AE53"/>
  <c r="AE51" s="1"/>
  <c r="AC53"/>
  <c r="S53"/>
  <c r="S51" s="1"/>
  <c r="AO51"/>
  <c r="AN51"/>
  <c r="AL51"/>
  <c r="AK51"/>
  <c r="AJ51"/>
  <c r="AI51"/>
  <c r="AH51"/>
  <c r="AF51"/>
  <c r="AD51"/>
  <c r="AB51"/>
  <c r="AA51"/>
  <c r="Z51"/>
  <c r="Y51"/>
  <c r="X51"/>
  <c r="W51"/>
  <c r="V51"/>
  <c r="U51"/>
  <c r="T51"/>
  <c r="R51"/>
  <c r="Q51"/>
  <c r="P51"/>
  <c r="O51"/>
  <c r="N51"/>
  <c r="M51"/>
  <c r="L51"/>
  <c r="K51"/>
  <c r="J51"/>
  <c r="I51"/>
  <c r="H51"/>
  <c r="G51"/>
  <c r="F51"/>
  <c r="E51"/>
  <c r="D51"/>
  <c r="C51"/>
  <c r="AP45"/>
  <c r="AO45"/>
  <c r="AN45"/>
  <c r="AM45"/>
  <c r="AP39"/>
  <c r="AO39"/>
  <c r="AN39"/>
  <c r="AM39"/>
  <c r="AP33"/>
  <c r="AO33"/>
  <c r="AN33"/>
  <c r="AM33"/>
  <c r="AL33"/>
  <c r="AK33"/>
  <c r="AJ33"/>
  <c r="AI33"/>
  <c r="AP27"/>
  <c r="AO27"/>
  <c r="AN27"/>
  <c r="AM27"/>
  <c r="AL27"/>
  <c r="AJ27"/>
  <c r="AI27"/>
  <c r="AI22"/>
  <c r="AI21" s="1"/>
  <c r="AP21"/>
  <c r="AO21"/>
  <c r="AN21"/>
  <c r="AM21"/>
  <c r="AL21"/>
  <c r="AK21"/>
  <c r="AJ21"/>
  <c r="AP15"/>
  <c r="AO15"/>
  <c r="AN15"/>
  <c r="AM15"/>
  <c r="F14"/>
  <c r="F8" s="1"/>
  <c r="AE12"/>
  <c r="AE11"/>
  <c r="AI10"/>
  <c r="AI8" s="1"/>
  <c r="AE10"/>
  <c r="O10"/>
  <c r="O8" s="1"/>
  <c r="M10"/>
  <c r="K10"/>
  <c r="I10"/>
  <c r="G10"/>
  <c r="G8" s="1"/>
  <c r="AP8"/>
  <c r="AO8"/>
  <c r="AN8"/>
  <c r="AM8"/>
  <c r="AU8" s="1"/>
  <c r="AL8"/>
  <c r="AK8"/>
  <c r="AJ8"/>
  <c r="AD8"/>
  <c r="AC8"/>
  <c r="AB8"/>
  <c r="AA8"/>
  <c r="Z8"/>
  <c r="Y8"/>
  <c r="X8"/>
  <c r="W8"/>
  <c r="V8"/>
  <c r="U8"/>
  <c r="T8"/>
  <c r="S8"/>
  <c r="R8"/>
  <c r="Q8"/>
  <c r="P8"/>
  <c r="N8"/>
  <c r="M8"/>
  <c r="L8"/>
  <c r="J8"/>
  <c r="I8"/>
  <c r="H8"/>
  <c r="E8"/>
  <c r="AQ111" i="87" l="1"/>
  <c r="AQ118" s="1"/>
  <c r="AM118"/>
  <c r="AU58"/>
  <c r="AQ111" i="86"/>
  <c r="AU111" s="1"/>
  <c r="AU58" i="85"/>
  <c r="AQ111"/>
  <c r="AU58" i="84"/>
  <c r="AQ111"/>
  <c r="AQ111" i="83"/>
  <c r="M58"/>
  <c r="M111" s="1"/>
  <c r="M118" s="1"/>
  <c r="AF72"/>
  <c r="L58"/>
  <c r="Q112"/>
  <c r="AC58"/>
  <c r="AC111" s="1"/>
  <c r="AC118" s="1"/>
  <c r="AI115"/>
  <c r="AD72"/>
  <c r="N79"/>
  <c r="Z79"/>
  <c r="AA79"/>
  <c r="P111"/>
  <c r="P118" s="1"/>
  <c r="AB111"/>
  <c r="AB118" s="1"/>
  <c r="K112"/>
  <c r="D111"/>
  <c r="D118" s="1"/>
  <c r="D121" s="1"/>
  <c r="AK58"/>
  <c r="AC116"/>
  <c r="U72"/>
  <c r="AC72"/>
  <c r="T93"/>
  <c r="AH111"/>
  <c r="AH118" s="1"/>
  <c r="AI114"/>
  <c r="L112"/>
  <c r="I112"/>
  <c r="C111"/>
  <c r="C118" s="1"/>
  <c r="C121" s="1"/>
  <c r="AC112"/>
  <c r="G58"/>
  <c r="Q58"/>
  <c r="X58"/>
  <c r="U112"/>
  <c r="AA58"/>
  <c r="AC113"/>
  <c r="AF58"/>
  <c r="R58"/>
  <c r="R111" s="1"/>
  <c r="R118" s="1"/>
  <c r="V58"/>
  <c r="V111" s="1"/>
  <c r="V118" s="1"/>
  <c r="AI112"/>
  <c r="O72"/>
  <c r="G112"/>
  <c r="O112"/>
  <c r="AI79"/>
  <c r="AL111"/>
  <c r="AL118" s="1"/>
  <c r="AE114"/>
  <c r="AA113"/>
  <c r="W115"/>
  <c r="AE79"/>
  <c r="I79"/>
  <c r="O79"/>
  <c r="O111" s="1"/>
  <c r="O118" s="1"/>
  <c r="AV86"/>
  <c r="E111"/>
  <c r="E118" s="1"/>
  <c r="M112"/>
  <c r="AE8"/>
  <c r="AC51"/>
  <c r="I58"/>
  <c r="U58"/>
  <c r="U111" s="1"/>
  <c r="U118" s="1"/>
  <c r="AE58"/>
  <c r="AC114"/>
  <c r="AE65"/>
  <c r="G72"/>
  <c r="AI72"/>
  <c r="AF113"/>
  <c r="O115"/>
  <c r="H112"/>
  <c r="W79"/>
  <c r="W111" s="1"/>
  <c r="W118" s="1"/>
  <c r="J93"/>
  <c r="J111" s="1"/>
  <c r="J118" s="1"/>
  <c r="W112"/>
  <c r="AC93"/>
  <c r="AB112"/>
  <c r="AP111"/>
  <c r="AP118" s="1"/>
  <c r="AV93"/>
  <c r="AU93"/>
  <c r="AO111"/>
  <c r="AO118" s="1"/>
  <c r="T111"/>
  <c r="T118" s="1"/>
  <c r="X111"/>
  <c r="X118" s="1"/>
  <c r="AK111"/>
  <c r="AK118" s="1"/>
  <c r="AD111"/>
  <c r="AD118" s="1"/>
  <c r="Y111"/>
  <c r="Y118" s="1"/>
  <c r="N111"/>
  <c r="N118" s="1"/>
  <c r="Z111"/>
  <c r="Z118" s="1"/>
  <c r="AM112"/>
  <c r="AM111"/>
  <c r="G111"/>
  <c r="G118" s="1"/>
  <c r="L111"/>
  <c r="L118" s="1"/>
  <c r="S111"/>
  <c r="S118" s="1"/>
  <c r="AA111"/>
  <c r="AA118" s="1"/>
  <c r="AN111"/>
  <c r="AN118" s="1"/>
  <c r="F111"/>
  <c r="F118" s="1"/>
  <c r="AJ58"/>
  <c r="AJ111" s="1"/>
  <c r="AJ118" s="1"/>
  <c r="S112"/>
  <c r="AA112"/>
  <c r="AE112"/>
  <c r="AE113"/>
  <c r="AI113"/>
  <c r="K8"/>
  <c r="K111" s="1"/>
  <c r="K118" s="1"/>
  <c r="I72"/>
  <c r="Q72"/>
  <c r="H79"/>
  <c r="H111" s="1"/>
  <c r="H118" s="1"/>
  <c r="I93"/>
  <c r="F112"/>
  <c r="J115"/>
  <c r="N115"/>
  <c r="R115"/>
  <c r="V115"/>
  <c r="F116"/>
  <c r="AF114"/>
  <c r="AN114"/>
  <c r="AU118" i="87" l="1"/>
  <c r="AU111"/>
  <c r="AQ118" i="86"/>
  <c r="AU118" s="1"/>
  <c r="AQ118" i="85"/>
  <c r="AU118" s="1"/>
  <c r="AU111"/>
  <c r="AQ118" i="84"/>
  <c r="AU118" s="1"/>
  <c r="AU111"/>
  <c r="AU111" i="83"/>
  <c r="AQ118"/>
  <c r="AF111"/>
  <c r="AF118" s="1"/>
  <c r="AI111"/>
  <c r="AI118" s="1"/>
  <c r="AE111"/>
  <c r="AE118" s="1"/>
  <c r="Q111"/>
  <c r="Q118" s="1"/>
  <c r="I111"/>
  <c r="I118" s="1"/>
  <c r="AM118"/>
  <c r="AU118" l="1"/>
</calcChain>
</file>

<file path=xl/sharedStrings.xml><?xml version="1.0" encoding="utf-8"?>
<sst xmlns="http://schemas.openxmlformats.org/spreadsheetml/2006/main" count="840" uniqueCount="53">
  <si>
    <t>Учреждения</t>
  </si>
  <si>
    <t>Департамент имущества</t>
  </si>
  <si>
    <t>Департамент образования</t>
  </si>
  <si>
    <t>Департамент финансов</t>
  </si>
  <si>
    <t>Департамент АПК</t>
  </si>
  <si>
    <t>текущая</t>
  </si>
  <si>
    <t>% роста к предыдущ. мес.</t>
  </si>
  <si>
    <t>по оплате труда</t>
  </si>
  <si>
    <t>по государственным внебюджетным фондам</t>
  </si>
  <si>
    <t>по налогам и сборам</t>
  </si>
  <si>
    <t>в том числе по поставщикам и подрядчикам</t>
  </si>
  <si>
    <t>ИТОГО</t>
  </si>
  <si>
    <t>просро-  ченная</t>
  </si>
  <si>
    <t>МУ"Контрольно-счетная палата"</t>
  </si>
  <si>
    <t xml:space="preserve">по прочим кредитор. </t>
  </si>
  <si>
    <t xml:space="preserve">Департамент ЖКХ             (в т.ч. ОСКР)     </t>
  </si>
  <si>
    <t>Департамент труда           (в т.ч. Милосердие)</t>
  </si>
  <si>
    <t>Муниципальный долг</t>
  </si>
  <si>
    <t>ВСЕГО</t>
  </si>
  <si>
    <t>Справочно:</t>
  </si>
  <si>
    <t xml:space="preserve">Свод по кредиторской задолженности </t>
  </si>
  <si>
    <t>ЦРБ, КРБ</t>
  </si>
  <si>
    <t>Сельские территории</t>
  </si>
  <si>
    <t>Задолженность по предпринимательской деятельности на 01.01.2012</t>
  </si>
  <si>
    <t>Задолженность по бюджету на 01.01.2012</t>
  </si>
  <si>
    <t>01.01.2012</t>
  </si>
  <si>
    <t>01.01.2013</t>
  </si>
  <si>
    <t>01.02.2013</t>
  </si>
  <si>
    <t>01.03.2013</t>
  </si>
  <si>
    <t>01.04.2013</t>
  </si>
  <si>
    <t>01.05.2013</t>
  </si>
  <si>
    <t>01.06.2013</t>
  </si>
  <si>
    <t>01.07.2013</t>
  </si>
  <si>
    <t>01.08.2013</t>
  </si>
  <si>
    <t>01.09.2013</t>
  </si>
  <si>
    <t>01.10.2013</t>
  </si>
  <si>
    <t>01.01.2014</t>
  </si>
  <si>
    <t xml:space="preserve">В том числе по муниципальному заданию </t>
  </si>
  <si>
    <t>01.01.2016</t>
  </si>
  <si>
    <t xml:space="preserve"> </t>
  </si>
  <si>
    <t>просро-ченная</t>
  </si>
  <si>
    <t xml:space="preserve">в том числе за счет средств обл.бюджета </t>
  </si>
  <si>
    <t>текущая всего</t>
  </si>
  <si>
    <t>Агентство</t>
  </si>
  <si>
    <t>ЖКК</t>
  </si>
  <si>
    <t>ЦКО</t>
  </si>
  <si>
    <t xml:space="preserve">Администрация         </t>
  </si>
  <si>
    <t>Информационный центр "Берега"</t>
  </si>
  <si>
    <t>Управление КСТ</t>
  </si>
  <si>
    <t>ЕДДС</t>
  </si>
  <si>
    <t>просроченная</t>
  </si>
  <si>
    <t>просроченная всего</t>
  </si>
  <si>
    <t>Департамент культуры      (в т.ч. Галактика)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</si>
</sst>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4" fontId="0" fillId="0" borderId="9" xfId="0" applyNumberFormat="1" applyBorder="1" applyAlignment="1">
      <alignment horizontal="right"/>
    </xf>
    <xf numFmtId="4" fontId="0" fillId="0" borderId="9" xfId="0" applyNumberFormat="1" applyBorder="1" applyAlignment="1">
      <alignment horizontal="right" wrapText="1"/>
    </xf>
    <xf numFmtId="4" fontId="1" fillId="0" borderId="9" xfId="0" applyNumberFormat="1" applyFont="1" applyBorder="1"/>
    <xf numFmtId="4" fontId="0" fillId="0" borderId="9" xfId="0" applyNumberFormat="1" applyBorder="1"/>
    <xf numFmtId="4" fontId="1" fillId="0" borderId="9" xfId="0" applyNumberFormat="1" applyFont="1" applyBorder="1" applyAlignment="1">
      <alignment horizontal="left" wrapText="1"/>
    </xf>
    <xf numFmtId="4" fontId="0" fillId="0" borderId="10" xfId="0" applyNumberFormat="1" applyBorder="1" applyAlignment="1">
      <alignment horizontal="right" wrapText="1"/>
    </xf>
    <xf numFmtId="0" fontId="1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4" fontId="1" fillId="0" borderId="9" xfId="0" applyNumberFormat="1" applyFont="1" applyBorder="1" applyAlignment="1">
      <alignment horizontal="right" wrapText="1"/>
    </xf>
    <xf numFmtId="4" fontId="1" fillId="0" borderId="9" xfId="0" applyNumberFormat="1" applyFont="1" applyBorder="1" applyAlignment="1">
      <alignment horizontal="right"/>
    </xf>
    <xf numFmtId="0" fontId="0" fillId="0" borderId="9" xfId="0" applyBorder="1" applyAlignment="1">
      <alignment horizontal="center" wrapText="1"/>
    </xf>
    <xf numFmtId="4" fontId="3" fillId="0" borderId="9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right" wrapText="1"/>
    </xf>
    <xf numFmtId="4" fontId="4" fillId="0" borderId="9" xfId="0" applyNumberFormat="1" applyFont="1" applyBorder="1" applyAlignment="1">
      <alignment horizontal="left" wrapText="1"/>
    </xf>
    <xf numFmtId="4" fontId="3" fillId="0" borderId="9" xfId="0" applyNumberFormat="1" applyFont="1" applyBorder="1"/>
    <xf numFmtId="4" fontId="6" fillId="0" borderId="9" xfId="0" applyNumberFormat="1" applyFont="1" applyBorder="1" applyAlignment="1">
      <alignment horizontal="right" wrapText="1"/>
    </xf>
    <xf numFmtId="0" fontId="0" fillId="0" borderId="9" xfId="0" applyFont="1" applyBorder="1" applyAlignment="1">
      <alignment horizontal="center" wrapText="1"/>
    </xf>
    <xf numFmtId="4" fontId="4" fillId="0" borderId="9" xfId="0" applyNumberFormat="1" applyFont="1" applyBorder="1"/>
    <xf numFmtId="4" fontId="6" fillId="0" borderId="9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4" fontId="6" fillId="0" borderId="9" xfId="0" applyNumberFormat="1" applyFont="1" applyBorder="1"/>
    <xf numFmtId="4" fontId="5" fillId="0" borderId="9" xfId="0" applyNumberFormat="1" applyFont="1" applyBorder="1"/>
    <xf numFmtId="4" fontId="0" fillId="0" borderId="9" xfId="0" applyNumberFormat="1" applyFont="1" applyBorder="1" applyAlignment="1">
      <alignment horizontal="right" wrapText="1"/>
    </xf>
    <xf numFmtId="0" fontId="6" fillId="0" borderId="9" xfId="0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right" wrapText="1"/>
    </xf>
    <xf numFmtId="0" fontId="3" fillId="0" borderId="10" xfId="0" applyFont="1" applyBorder="1"/>
    <xf numFmtId="4" fontId="3" fillId="0" borderId="10" xfId="0" applyNumberFormat="1" applyFont="1" applyBorder="1" applyAlignment="1">
      <alignment horizontal="right" wrapText="1"/>
    </xf>
    <xf numFmtId="4" fontId="6" fillId="0" borderId="9" xfId="0" quotePrefix="1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3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left" wrapText="1"/>
    </xf>
    <xf numFmtId="4" fontId="6" fillId="0" borderId="9" xfId="0" applyNumberFormat="1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/>
    <xf numFmtId="4" fontId="0" fillId="0" borderId="11" xfId="0" applyNumberForma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4" fontId="6" fillId="2" borderId="9" xfId="0" applyNumberFormat="1" applyFont="1" applyFill="1" applyBorder="1" applyAlignment="1">
      <alignment horizontal="right" wrapText="1"/>
    </xf>
    <xf numFmtId="4" fontId="5" fillId="0" borderId="11" xfId="0" applyNumberFormat="1" applyFont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0" xfId="0" applyFont="1"/>
    <xf numFmtId="4" fontId="5" fillId="0" borderId="11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2" borderId="9" xfId="0" applyNumberFormat="1" applyFont="1" applyFill="1" applyBorder="1" applyAlignment="1">
      <alignment horizontal="right" wrapText="1"/>
    </xf>
    <xf numFmtId="0" fontId="0" fillId="2" borderId="9" xfId="0" applyFont="1" applyFill="1" applyBorder="1" applyAlignment="1">
      <alignment horizontal="center" wrapText="1"/>
    </xf>
    <xf numFmtId="4" fontId="1" fillId="0" borderId="11" xfId="0" applyNumberFormat="1" applyFont="1" applyBorder="1" applyAlignment="1">
      <alignment horizontal="right"/>
    </xf>
    <xf numFmtId="164" fontId="1" fillId="0" borderId="11" xfId="0" applyNumberFormat="1" applyFont="1" applyBorder="1" applyAlignment="1"/>
    <xf numFmtId="4" fontId="0" fillId="0" borderId="9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0" fillId="0" borderId="3" xfId="0" applyBorder="1" applyAlignment="1">
      <alignment wrapText="1"/>
    </xf>
    <xf numFmtId="4" fontId="5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0" fontId="0" fillId="0" borderId="3" xfId="0" applyBorder="1" applyAlignment="1">
      <alignment wrapText="1"/>
    </xf>
    <xf numFmtId="4" fontId="5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9" xfId="0" applyFont="1" applyBorder="1"/>
    <xf numFmtId="0" fontId="0" fillId="0" borderId="3" xfId="0" applyBorder="1" applyAlignment="1">
      <alignment wrapText="1"/>
    </xf>
    <xf numFmtId="4" fontId="5" fillId="0" borderId="11" xfId="0" applyNumberFormat="1" applyFont="1" applyBorder="1" applyAlignment="1">
      <alignment horizontal="right"/>
    </xf>
    <xf numFmtId="0" fontId="6" fillId="2" borderId="9" xfId="0" applyFont="1" applyFill="1" applyBorder="1" applyAlignment="1">
      <alignment horizontal="center" wrapText="1"/>
    </xf>
    <xf numFmtId="164" fontId="5" fillId="0" borderId="11" xfId="0" applyNumberFormat="1" applyFont="1" applyBorder="1" applyAlignment="1"/>
    <xf numFmtId="4" fontId="1" fillId="0" borderId="11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0" fillId="0" borderId="3" xfId="0" applyBorder="1" applyAlignment="1">
      <alignment wrapText="1"/>
    </xf>
    <xf numFmtId="4" fontId="5" fillId="0" borderId="11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4" fontId="0" fillId="0" borderId="10" xfId="0" applyNumberFormat="1" applyFont="1" applyBorder="1" applyAlignment="1">
      <alignment horizontal="right" wrapText="1"/>
    </xf>
    <xf numFmtId="0" fontId="1" fillId="0" borderId="9" xfId="0" applyFont="1" applyBorder="1" applyAlignment="1">
      <alignment horizontal="left" wrapText="1"/>
    </xf>
    <xf numFmtId="4" fontId="0" fillId="0" borderId="9" xfId="0" applyNumberFormat="1" applyFont="1" applyBorder="1"/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7" xfId="0" applyNumberForma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14" fontId="0" fillId="0" borderId="7" xfId="0" applyNumberFormat="1" applyFont="1" applyBorder="1" applyAlignment="1">
      <alignment horizontal="center" wrapText="1"/>
    </xf>
    <xf numFmtId="14" fontId="0" fillId="0" borderId="13" xfId="0" applyNumberFormat="1" applyFont="1" applyBorder="1" applyAlignment="1">
      <alignment horizontal="center" wrapText="1"/>
    </xf>
    <xf numFmtId="14" fontId="0" fillId="0" borderId="2" xfId="0" applyNumberFormat="1" applyFont="1" applyBorder="1" applyAlignment="1">
      <alignment horizontal="center" wrapText="1"/>
    </xf>
    <xf numFmtId="14" fontId="0" fillId="0" borderId="8" xfId="0" applyNumberFormat="1" applyFont="1" applyBorder="1" applyAlignment="1">
      <alignment horizontal="center" wrapText="1"/>
    </xf>
    <xf numFmtId="14" fontId="0" fillId="0" borderId="4" xfId="0" applyNumberFormat="1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4" fontId="0" fillId="0" borderId="7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right"/>
    </xf>
    <xf numFmtId="0" fontId="0" fillId="0" borderId="10" xfId="0" applyBorder="1"/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right"/>
    </xf>
    <xf numFmtId="0" fontId="6" fillId="0" borderId="10" xfId="0" applyFont="1" applyBorder="1"/>
    <xf numFmtId="0" fontId="1" fillId="0" borderId="7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center" wrapText="1"/>
    </xf>
    <xf numFmtId="4" fontId="1" fillId="0" borderId="11" xfId="0" applyNumberFormat="1" applyFont="1" applyBorder="1" applyAlignment="1">
      <alignment horizontal="right" wrapText="1"/>
    </xf>
    <xf numFmtId="0" fontId="1" fillId="0" borderId="7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164" fontId="1" fillId="0" borderId="1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right" wrapText="1"/>
    </xf>
    <xf numFmtId="164" fontId="1" fillId="2" borderId="11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4" fontId="5" fillId="2" borderId="11" xfId="0" applyNumberFormat="1" applyFont="1" applyFill="1" applyBorder="1" applyAlignment="1">
      <alignment horizontal="center" wrapText="1"/>
    </xf>
    <xf numFmtId="4" fontId="5" fillId="2" borderId="10" xfId="0" applyNumberFormat="1" applyFont="1" applyFill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0" fillId="0" borderId="3" xfId="0" applyBorder="1"/>
    <xf numFmtId="0" fontId="1" fillId="0" borderId="6" xfId="0" applyFont="1" applyBorder="1" applyAlignment="1">
      <alignment wrapText="1"/>
    </xf>
    <xf numFmtId="0" fontId="5" fillId="0" borderId="10" xfId="0" applyFont="1" applyBorder="1"/>
    <xf numFmtId="4" fontId="1" fillId="2" borderId="11" xfId="0" applyNumberFormat="1" applyFont="1" applyFill="1" applyBorder="1" applyAlignment="1">
      <alignment horizontal="center" wrapText="1"/>
    </xf>
    <xf numFmtId="4" fontId="1" fillId="2" borderId="10" xfId="0" applyNumberFormat="1" applyFont="1" applyFill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164" fontId="5" fillId="2" borderId="1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Z132"/>
  <sheetViews>
    <sheetView topLeftCell="A43" zoomScale="65" zoomScaleNormal="65" workbookViewId="0">
      <selection activeCell="A43" sqref="A1:XFD1048576"/>
    </sheetView>
  </sheetViews>
  <sheetFormatPr defaultRowHeight="14.4"/>
  <cols>
    <col min="2" max="2" width="12.5546875" customWidth="1"/>
    <col min="3" max="3" width="13.6640625" hidden="1" customWidth="1"/>
    <col min="4" max="4" width="12.6640625" hidden="1" customWidth="1"/>
    <col min="5" max="5" width="14" hidden="1" customWidth="1"/>
    <col min="6" max="6" width="12.33203125" hidden="1" customWidth="1"/>
    <col min="7" max="7" width="12.5546875" hidden="1" customWidth="1"/>
    <col min="8" max="8" width="12.6640625" hidden="1" customWidth="1"/>
    <col min="9" max="9" width="14.109375" hidden="1" customWidth="1"/>
    <col min="10" max="10" width="14" hidden="1" customWidth="1"/>
    <col min="11" max="11" width="12.6640625" hidden="1" customWidth="1"/>
    <col min="12" max="12" width="13.88671875" hidden="1" customWidth="1"/>
    <col min="13" max="13" width="15.109375" hidden="1" customWidth="1"/>
    <col min="14" max="14" width="13.6640625" hidden="1" customWidth="1"/>
    <col min="15" max="15" width="13.109375" hidden="1" customWidth="1"/>
    <col min="16" max="16" width="13.88671875" hidden="1" customWidth="1"/>
    <col min="17" max="17" width="14.33203125" hidden="1" customWidth="1"/>
    <col min="18" max="18" width="14.44140625" hidden="1" customWidth="1"/>
    <col min="19" max="19" width="15" hidden="1" customWidth="1"/>
    <col min="20" max="20" width="13.33203125" hidden="1" customWidth="1"/>
    <col min="21" max="21" width="16" hidden="1" customWidth="1"/>
    <col min="22" max="22" width="13.109375" hidden="1" customWidth="1"/>
    <col min="23" max="23" width="13.33203125" hidden="1" customWidth="1"/>
    <col min="24" max="24" width="14.109375" hidden="1" customWidth="1"/>
    <col min="25" max="25" width="14.33203125" hidden="1" customWidth="1"/>
    <col min="26" max="26" width="13.33203125" hidden="1" customWidth="1"/>
    <col min="27" max="27" width="13.44140625" hidden="1" customWidth="1"/>
    <col min="28" max="28" width="12.5546875" hidden="1" customWidth="1"/>
    <col min="29" max="29" width="13.33203125" hidden="1" customWidth="1"/>
    <col min="30" max="30" width="14" hidden="1" customWidth="1"/>
    <col min="31" max="31" width="15.77734375" customWidth="1"/>
    <col min="32" max="34" width="14" customWidth="1"/>
    <col min="35" max="35" width="16" customWidth="1"/>
    <col min="36" max="38" width="14" customWidth="1"/>
    <col min="39" max="39" width="16" customWidth="1"/>
    <col min="40" max="42" width="14" customWidth="1"/>
    <col min="43" max="43" width="15.77734375" customWidth="1"/>
    <col min="44" max="44" width="17.44140625" customWidth="1"/>
    <col min="45" max="46" width="14" customWidth="1"/>
    <col min="47" max="47" width="10.33203125" customWidth="1"/>
    <col min="48" max="48" width="9.44140625" customWidth="1"/>
  </cols>
  <sheetData>
    <row r="1" spans="1:52">
      <c r="B1" s="93" t="s">
        <v>20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</row>
    <row r="2" spans="1:52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</row>
    <row r="3" spans="1:52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</row>
    <row r="4" spans="1:52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</row>
    <row r="5" spans="1:52">
      <c r="A5" s="95" t="s">
        <v>0</v>
      </c>
      <c r="B5" s="96"/>
      <c r="C5" s="101" t="s">
        <v>25</v>
      </c>
      <c r="D5" s="102"/>
      <c r="E5" s="101" t="s">
        <v>26</v>
      </c>
      <c r="F5" s="102"/>
      <c r="G5" s="101" t="s">
        <v>27</v>
      </c>
      <c r="H5" s="102"/>
      <c r="I5" s="101" t="s">
        <v>28</v>
      </c>
      <c r="J5" s="102"/>
      <c r="K5" s="101" t="s">
        <v>29</v>
      </c>
      <c r="L5" s="102"/>
      <c r="M5" s="101" t="s">
        <v>30</v>
      </c>
      <c r="N5" s="102"/>
      <c r="O5" s="101" t="s">
        <v>31</v>
      </c>
      <c r="P5" s="102"/>
      <c r="Q5" s="101" t="s">
        <v>32</v>
      </c>
      <c r="R5" s="102"/>
      <c r="S5" s="101" t="s">
        <v>33</v>
      </c>
      <c r="T5" s="102"/>
      <c r="U5" s="101" t="s">
        <v>34</v>
      </c>
      <c r="V5" s="102"/>
      <c r="W5" s="101" t="s">
        <v>35</v>
      </c>
      <c r="X5" s="102"/>
      <c r="Y5" s="101" t="s">
        <v>36</v>
      </c>
      <c r="Z5" s="102"/>
      <c r="AA5" s="101" t="s">
        <v>38</v>
      </c>
      <c r="AB5" s="115"/>
      <c r="AC5" s="105">
        <v>42736</v>
      </c>
      <c r="AD5" s="115"/>
      <c r="AE5" s="118">
        <v>43466</v>
      </c>
      <c r="AF5" s="106"/>
      <c r="AG5" s="106"/>
      <c r="AH5" s="107"/>
      <c r="AI5" s="105">
        <v>43831</v>
      </c>
      <c r="AJ5" s="106"/>
      <c r="AK5" s="106"/>
      <c r="AL5" s="107"/>
      <c r="AM5" s="105">
        <v>44197</v>
      </c>
      <c r="AN5" s="106"/>
      <c r="AO5" s="106"/>
      <c r="AP5" s="107"/>
      <c r="AQ5" s="105">
        <v>44317</v>
      </c>
      <c r="AR5" s="106"/>
      <c r="AS5" s="106"/>
      <c r="AT5" s="107"/>
      <c r="AU5" s="111" t="s">
        <v>6</v>
      </c>
      <c r="AV5" s="112"/>
    </row>
    <row r="6" spans="1:52">
      <c r="A6" s="97"/>
      <c r="B6" s="98"/>
      <c r="C6" s="103"/>
      <c r="D6" s="104"/>
      <c r="E6" s="103"/>
      <c r="F6" s="104"/>
      <c r="G6" s="103"/>
      <c r="H6" s="104"/>
      <c r="I6" s="103"/>
      <c r="J6" s="104"/>
      <c r="K6" s="103"/>
      <c r="L6" s="104"/>
      <c r="M6" s="103"/>
      <c r="N6" s="104"/>
      <c r="O6" s="103"/>
      <c r="P6" s="104"/>
      <c r="Q6" s="103"/>
      <c r="R6" s="104"/>
      <c r="S6" s="103"/>
      <c r="T6" s="104"/>
      <c r="U6" s="103"/>
      <c r="V6" s="104"/>
      <c r="W6" s="103"/>
      <c r="X6" s="104"/>
      <c r="Y6" s="103"/>
      <c r="Z6" s="104"/>
      <c r="AA6" s="116"/>
      <c r="AB6" s="117"/>
      <c r="AC6" s="116"/>
      <c r="AD6" s="117"/>
      <c r="AE6" s="108"/>
      <c r="AF6" s="109"/>
      <c r="AG6" s="109"/>
      <c r="AH6" s="110"/>
      <c r="AI6" s="108"/>
      <c r="AJ6" s="109"/>
      <c r="AK6" s="109"/>
      <c r="AL6" s="110"/>
      <c r="AM6" s="108"/>
      <c r="AN6" s="109"/>
      <c r="AO6" s="109"/>
      <c r="AP6" s="110"/>
      <c r="AQ6" s="108"/>
      <c r="AR6" s="109"/>
      <c r="AS6" s="109"/>
      <c r="AT6" s="110"/>
      <c r="AU6" s="113"/>
      <c r="AV6" s="114"/>
    </row>
    <row r="7" spans="1:52" ht="43.2">
      <c r="A7" s="99"/>
      <c r="B7" s="100"/>
      <c r="C7" s="11" t="s">
        <v>5</v>
      </c>
      <c r="D7" s="11" t="s">
        <v>12</v>
      </c>
      <c r="E7" s="11" t="s">
        <v>5</v>
      </c>
      <c r="F7" s="11" t="s">
        <v>12</v>
      </c>
      <c r="G7" s="11" t="s">
        <v>5</v>
      </c>
      <c r="H7" s="11" t="s">
        <v>12</v>
      </c>
      <c r="I7" s="11" t="s">
        <v>5</v>
      </c>
      <c r="J7" s="11" t="s">
        <v>12</v>
      </c>
      <c r="K7" s="11" t="s">
        <v>5</v>
      </c>
      <c r="L7" s="11" t="s">
        <v>12</v>
      </c>
      <c r="M7" s="11" t="s">
        <v>5</v>
      </c>
      <c r="N7" s="11" t="s">
        <v>12</v>
      </c>
      <c r="O7" s="11" t="s">
        <v>5</v>
      </c>
      <c r="P7" s="11" t="s">
        <v>12</v>
      </c>
      <c r="Q7" s="11" t="s">
        <v>5</v>
      </c>
      <c r="R7" s="11" t="s">
        <v>12</v>
      </c>
      <c r="S7" s="11" t="s">
        <v>5</v>
      </c>
      <c r="T7" s="11" t="s">
        <v>12</v>
      </c>
      <c r="U7" s="11" t="s">
        <v>5</v>
      </c>
      <c r="V7" s="11" t="s">
        <v>12</v>
      </c>
      <c r="W7" s="11" t="s">
        <v>5</v>
      </c>
      <c r="X7" s="11" t="s">
        <v>12</v>
      </c>
      <c r="Y7" s="11" t="s">
        <v>5</v>
      </c>
      <c r="Z7" s="11" t="s">
        <v>12</v>
      </c>
      <c r="AA7" s="17" t="s">
        <v>5</v>
      </c>
      <c r="AB7" s="11" t="s">
        <v>40</v>
      </c>
      <c r="AC7" s="24" t="s">
        <v>5</v>
      </c>
      <c r="AD7" s="24" t="s">
        <v>40</v>
      </c>
      <c r="AE7" s="24" t="s">
        <v>42</v>
      </c>
      <c r="AF7" s="24" t="s">
        <v>41</v>
      </c>
      <c r="AG7" s="24" t="s">
        <v>51</v>
      </c>
      <c r="AH7" s="24" t="s">
        <v>41</v>
      </c>
      <c r="AI7" s="24" t="s">
        <v>42</v>
      </c>
      <c r="AJ7" s="24" t="s">
        <v>41</v>
      </c>
      <c r="AK7" s="24" t="s">
        <v>51</v>
      </c>
      <c r="AL7" s="24" t="s">
        <v>41</v>
      </c>
      <c r="AM7" s="24" t="s">
        <v>42</v>
      </c>
      <c r="AN7" s="24" t="s">
        <v>41</v>
      </c>
      <c r="AO7" s="24" t="s">
        <v>51</v>
      </c>
      <c r="AP7" s="24" t="s">
        <v>41</v>
      </c>
      <c r="AQ7" s="24" t="s">
        <v>42</v>
      </c>
      <c r="AR7" s="24" t="s">
        <v>41</v>
      </c>
      <c r="AS7" s="24" t="s">
        <v>51</v>
      </c>
      <c r="AT7" s="24" t="s">
        <v>41</v>
      </c>
      <c r="AU7" s="24" t="s">
        <v>5</v>
      </c>
      <c r="AV7" s="24" t="s">
        <v>50</v>
      </c>
      <c r="AW7" s="49"/>
      <c r="AX7" s="49"/>
      <c r="AY7" s="49"/>
      <c r="AZ7" s="49"/>
    </row>
    <row r="8" spans="1:52">
      <c r="A8" s="133" t="s">
        <v>46</v>
      </c>
      <c r="B8" s="134"/>
      <c r="C8" s="119">
        <v>4339281.38</v>
      </c>
      <c r="D8" s="119">
        <v>301680.46000000002</v>
      </c>
      <c r="E8" s="119">
        <f t="shared" ref="E8:AD8" si="0">SUM(E10:E14)</f>
        <v>1585306.45</v>
      </c>
      <c r="F8" s="119">
        <f t="shared" si="0"/>
        <v>1801203.7999999998</v>
      </c>
      <c r="G8" s="119">
        <f t="shared" si="0"/>
        <v>1880710.93</v>
      </c>
      <c r="H8" s="119">
        <f t="shared" si="0"/>
        <v>1726285.8</v>
      </c>
      <c r="I8" s="119">
        <f t="shared" si="0"/>
        <v>2043940.37</v>
      </c>
      <c r="J8" s="119">
        <f t="shared" si="0"/>
        <v>1726285.8</v>
      </c>
      <c r="K8" s="119">
        <f t="shared" si="0"/>
        <v>1800545.93</v>
      </c>
      <c r="L8" s="119">
        <f t="shared" si="0"/>
        <v>1726285.8</v>
      </c>
      <c r="M8" s="119">
        <f t="shared" si="0"/>
        <v>1791783.17</v>
      </c>
      <c r="N8" s="119">
        <f t="shared" si="0"/>
        <v>1726285.8</v>
      </c>
      <c r="O8" s="119">
        <f t="shared" si="0"/>
        <v>1777486.53</v>
      </c>
      <c r="P8" s="119">
        <f t="shared" si="0"/>
        <v>1726285.8</v>
      </c>
      <c r="Q8" s="119">
        <f t="shared" si="0"/>
        <v>1764579</v>
      </c>
      <c r="R8" s="119">
        <f t="shared" si="0"/>
        <v>1726285.8</v>
      </c>
      <c r="S8" s="119">
        <f t="shared" si="0"/>
        <v>1758347.09</v>
      </c>
      <c r="T8" s="119">
        <f t="shared" si="0"/>
        <v>1726285.8</v>
      </c>
      <c r="U8" s="119">
        <f t="shared" si="0"/>
        <v>1761309.72</v>
      </c>
      <c r="V8" s="119">
        <f t="shared" si="0"/>
        <v>1726285.8</v>
      </c>
      <c r="W8" s="119">
        <f t="shared" si="0"/>
        <v>1748835.28</v>
      </c>
      <c r="X8" s="119">
        <f t="shared" si="0"/>
        <v>1726285.8</v>
      </c>
      <c r="Y8" s="119">
        <f t="shared" si="0"/>
        <v>1009374.5399999999</v>
      </c>
      <c r="Z8" s="119">
        <f t="shared" si="0"/>
        <v>1126468.53</v>
      </c>
      <c r="AA8" s="131">
        <f t="shared" si="0"/>
        <v>11386898.26</v>
      </c>
      <c r="AB8" s="131">
        <f t="shared" si="0"/>
        <v>8994676.1799999997</v>
      </c>
      <c r="AC8" s="131">
        <f t="shared" si="0"/>
        <v>3615198.68</v>
      </c>
      <c r="AD8" s="131">
        <f t="shared" si="0"/>
        <v>0</v>
      </c>
      <c r="AE8" s="121">
        <f>AE10+AE11+AE12+AE13+AE14</f>
        <v>42333749.980000004</v>
      </c>
      <c r="AF8" s="121">
        <v>0</v>
      </c>
      <c r="AG8" s="125">
        <v>0</v>
      </c>
      <c r="AH8" s="121">
        <v>0</v>
      </c>
      <c r="AI8" s="121">
        <f t="shared" ref="AI8:AT8" si="1">AI10+AI11+AI12+AI13+AI14</f>
        <v>8750479.9399999995</v>
      </c>
      <c r="AJ8" s="121">
        <f t="shared" si="1"/>
        <v>23845.269999999997</v>
      </c>
      <c r="AK8" s="121">
        <f t="shared" si="1"/>
        <v>571235</v>
      </c>
      <c r="AL8" s="121">
        <f t="shared" si="1"/>
        <v>571235</v>
      </c>
      <c r="AM8" s="121">
        <f t="shared" si="1"/>
        <v>354308.05</v>
      </c>
      <c r="AN8" s="121">
        <f t="shared" si="1"/>
        <v>325.33999999999997</v>
      </c>
      <c r="AO8" s="121">
        <f t="shared" si="1"/>
        <v>0</v>
      </c>
      <c r="AP8" s="121">
        <f t="shared" si="1"/>
        <v>0</v>
      </c>
      <c r="AQ8" s="161">
        <f t="shared" si="1"/>
        <v>7804599.6299999999</v>
      </c>
      <c r="AR8" s="161">
        <f t="shared" si="1"/>
        <v>7557577.9300000006</v>
      </c>
      <c r="AS8" s="161">
        <f t="shared" si="1"/>
        <v>0</v>
      </c>
      <c r="AT8" s="161">
        <f t="shared" si="1"/>
        <v>0</v>
      </c>
      <c r="AU8" s="143">
        <f>AQ8/AM8-1</f>
        <v>21.027723135277338</v>
      </c>
      <c r="AV8" s="143" t="e">
        <f>AS8/AO8-1</f>
        <v>#DIV/0!</v>
      </c>
    </row>
    <row r="9" spans="1:52">
      <c r="A9" s="135"/>
      <c r="B9" s="136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32"/>
      <c r="AB9" s="132"/>
      <c r="AC9" s="132"/>
      <c r="AD9" s="132"/>
      <c r="AE9" s="122"/>
      <c r="AF9" s="122"/>
      <c r="AG9" s="126"/>
      <c r="AH9" s="122"/>
      <c r="AI9" s="122"/>
      <c r="AJ9" s="122"/>
      <c r="AK9" s="122"/>
      <c r="AL9" s="122"/>
      <c r="AM9" s="122"/>
      <c r="AN9" s="122"/>
      <c r="AO9" s="122"/>
      <c r="AP9" s="122"/>
      <c r="AQ9" s="162"/>
      <c r="AR9" s="162"/>
      <c r="AS9" s="162"/>
      <c r="AT9" s="162"/>
      <c r="AU9" s="144"/>
      <c r="AV9" s="144"/>
    </row>
    <row r="10" spans="1:52" ht="43.5" customHeight="1">
      <c r="A10" s="127" t="s">
        <v>10</v>
      </c>
      <c r="B10" s="128"/>
      <c r="C10" s="1"/>
      <c r="D10" s="1"/>
      <c r="E10" s="1"/>
      <c r="F10" s="1"/>
      <c r="G10" s="1">
        <f>1880710.93-1726285.8</f>
        <v>154425.12999999989</v>
      </c>
      <c r="H10" s="1"/>
      <c r="I10" s="1">
        <f>2043940.37-1726285.8</f>
        <v>317654.57000000007</v>
      </c>
      <c r="J10" s="1"/>
      <c r="K10" s="1">
        <f>1800545.93-1726285.8</f>
        <v>74260.129999999888</v>
      </c>
      <c r="L10" s="1"/>
      <c r="M10" s="1">
        <f>1791783.17-1726285.8</f>
        <v>65497.369999999879</v>
      </c>
      <c r="N10" s="1"/>
      <c r="O10" s="1">
        <f>1777486.53-1726285.8</f>
        <v>51200.729999999981</v>
      </c>
      <c r="P10" s="1"/>
      <c r="Q10" s="1">
        <v>38293.199999999997</v>
      </c>
      <c r="R10" s="1"/>
      <c r="S10" s="1"/>
      <c r="T10" s="1"/>
      <c r="U10" s="1"/>
      <c r="V10" s="1"/>
      <c r="W10" s="1"/>
      <c r="X10" s="1"/>
      <c r="Y10" s="1">
        <v>1195328.95</v>
      </c>
      <c r="Z10" s="1">
        <v>1126468.53</v>
      </c>
      <c r="AA10" s="19">
        <v>9260028.4399999995</v>
      </c>
      <c r="AB10" s="19">
        <v>8994676.1799999997</v>
      </c>
      <c r="AC10" s="19">
        <v>1203866.6499999999</v>
      </c>
      <c r="AD10" s="19"/>
      <c r="AE10" s="19">
        <f>416263.48+37900405.82+562292</f>
        <v>38878961.299999997</v>
      </c>
      <c r="AF10" s="19"/>
      <c r="AG10" s="19"/>
      <c r="AH10" s="19"/>
      <c r="AI10" s="19">
        <f>7760580.92-6672685.6</f>
        <v>1087895.3200000003</v>
      </c>
      <c r="AJ10" s="19">
        <v>18905.939999999999</v>
      </c>
      <c r="AK10" s="19">
        <v>571235</v>
      </c>
      <c r="AL10" s="19">
        <v>571235</v>
      </c>
      <c r="AM10" s="19">
        <v>157860.57999999999</v>
      </c>
      <c r="AN10" s="19">
        <v>325.33999999999997</v>
      </c>
      <c r="AO10" s="19"/>
      <c r="AP10" s="19">
        <v>0</v>
      </c>
      <c r="AQ10" s="59">
        <v>253391.6</v>
      </c>
      <c r="AR10" s="59">
        <v>6369.9</v>
      </c>
      <c r="AS10" s="59"/>
      <c r="AT10" s="59"/>
      <c r="AU10" s="66"/>
      <c r="AV10" s="66"/>
    </row>
    <row r="11" spans="1:52" ht="17.25" customHeight="1">
      <c r="A11" s="127" t="s">
        <v>7</v>
      </c>
      <c r="B11" s="128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9">
        <v>1010215.34</v>
      </c>
      <c r="AB11" s="19"/>
      <c r="AC11" s="19">
        <v>1531012.85</v>
      </c>
      <c r="AD11" s="19"/>
      <c r="AE11" s="19">
        <f>2206899.92+113179.6</f>
        <v>2320079.52</v>
      </c>
      <c r="AF11" s="19"/>
      <c r="AG11" s="19"/>
      <c r="AH11" s="19"/>
      <c r="AI11" s="19">
        <v>662186.56000000006</v>
      </c>
      <c r="AJ11" s="19"/>
      <c r="AK11" s="19"/>
      <c r="AL11" s="19"/>
      <c r="AM11" s="19"/>
      <c r="AN11" s="19"/>
      <c r="AO11" s="19"/>
      <c r="AP11" s="19"/>
      <c r="AQ11" s="59"/>
      <c r="AR11" s="59"/>
      <c r="AS11" s="59"/>
      <c r="AT11" s="59"/>
      <c r="AU11" s="66"/>
      <c r="AV11" s="66"/>
    </row>
    <row r="12" spans="1:52" ht="40.200000000000003" customHeight="1">
      <c r="A12" s="127" t="s">
        <v>8</v>
      </c>
      <c r="B12" s="12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>
        <v>-16948.759999999998</v>
      </c>
      <c r="Z12" s="1"/>
      <c r="AA12" s="19">
        <v>1116654.48</v>
      </c>
      <c r="AB12" s="19"/>
      <c r="AC12" s="19">
        <v>880319.18</v>
      </c>
      <c r="AD12" s="19"/>
      <c r="AE12" s="19">
        <f>1078354.1</f>
        <v>1078354.1000000001</v>
      </c>
      <c r="AF12" s="19"/>
      <c r="AG12" s="19"/>
      <c r="AH12" s="19"/>
      <c r="AI12" s="19">
        <v>327712.46000000002</v>
      </c>
      <c r="AJ12" s="19">
        <v>4939.33</v>
      </c>
      <c r="AK12" s="19"/>
      <c r="AL12" s="19"/>
      <c r="AM12" s="19"/>
      <c r="AN12" s="19"/>
      <c r="AO12" s="19"/>
      <c r="AP12" s="19"/>
      <c r="AQ12" s="59"/>
      <c r="AR12" s="59"/>
      <c r="AS12" s="59"/>
      <c r="AT12" s="59"/>
      <c r="AU12" s="66"/>
      <c r="AV12" s="66"/>
    </row>
    <row r="13" spans="1:52">
      <c r="A13" s="127" t="s">
        <v>9</v>
      </c>
      <c r="B13" s="128"/>
      <c r="C13" s="1"/>
      <c r="D13" s="1"/>
      <c r="E13" s="1">
        <v>74918</v>
      </c>
      <c r="F13" s="1">
        <v>74918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>
        <v>-169005.65</v>
      </c>
      <c r="Z13" s="1"/>
      <c r="AA13" s="12"/>
      <c r="AB13" s="12"/>
      <c r="AC13" s="19"/>
      <c r="AD13" s="19"/>
      <c r="AE13" s="19">
        <v>56355.06</v>
      </c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59"/>
      <c r="AR13" s="59"/>
      <c r="AS13" s="59"/>
      <c r="AT13" s="59"/>
      <c r="AU13" s="66"/>
      <c r="AV13" s="66"/>
    </row>
    <row r="14" spans="1:52" ht="15.6" customHeight="1">
      <c r="A14" s="127" t="s">
        <v>14</v>
      </c>
      <c r="B14" s="128"/>
      <c r="C14" s="1"/>
      <c r="D14" s="1"/>
      <c r="E14" s="1">
        <v>1510388.45</v>
      </c>
      <c r="F14" s="1">
        <f>169005.65+1557280.15</f>
        <v>1726285.7999999998</v>
      </c>
      <c r="G14" s="1">
        <v>1726285.8</v>
      </c>
      <c r="H14" s="1">
        <v>1726285.8</v>
      </c>
      <c r="I14" s="1">
        <v>1726285.8</v>
      </c>
      <c r="J14" s="1">
        <v>1726285.8</v>
      </c>
      <c r="K14" s="1">
        <v>1726285.8</v>
      </c>
      <c r="L14" s="1">
        <v>1726285.8</v>
      </c>
      <c r="M14" s="1">
        <v>1726285.8</v>
      </c>
      <c r="N14" s="1">
        <v>1726285.8</v>
      </c>
      <c r="O14" s="1">
        <v>1726285.8</v>
      </c>
      <c r="P14" s="1">
        <v>1726285.8</v>
      </c>
      <c r="Q14" s="1">
        <v>1726285.8</v>
      </c>
      <c r="R14" s="1">
        <v>1726285.8</v>
      </c>
      <c r="S14" s="1">
        <v>1758347.09</v>
      </c>
      <c r="T14" s="1">
        <v>1726285.8</v>
      </c>
      <c r="U14" s="1">
        <v>1761309.72</v>
      </c>
      <c r="V14" s="1">
        <v>1726285.8</v>
      </c>
      <c r="W14" s="1">
        <v>1748835.28</v>
      </c>
      <c r="X14" s="1">
        <v>1726285.8</v>
      </c>
      <c r="Y14" s="1"/>
      <c r="Z14" s="1"/>
      <c r="AA14" s="12"/>
      <c r="AB14" s="12"/>
      <c r="AC14" s="19"/>
      <c r="AD14" s="19"/>
      <c r="AE14" s="19"/>
      <c r="AF14" s="19"/>
      <c r="AG14" s="19"/>
      <c r="AH14" s="19"/>
      <c r="AI14" s="19">
        <v>6672685.5999999996</v>
      </c>
      <c r="AJ14" s="19"/>
      <c r="AK14" s="19"/>
      <c r="AL14" s="19"/>
      <c r="AM14" s="19">
        <v>196447.47</v>
      </c>
      <c r="AN14" s="19"/>
      <c r="AO14" s="19"/>
      <c r="AP14" s="19"/>
      <c r="AQ14" s="59">
        <v>7551208.0300000003</v>
      </c>
      <c r="AR14" s="59">
        <v>7551208.0300000003</v>
      </c>
      <c r="AS14" s="59"/>
      <c r="AT14" s="59"/>
      <c r="AU14" s="66"/>
      <c r="AV14" s="66"/>
    </row>
    <row r="15" spans="1:52">
      <c r="A15" s="129" t="s">
        <v>49</v>
      </c>
      <c r="B15" s="130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7"/>
      <c r="AB15" s="37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76">
        <f>AM16+AM17+AM18+AM19+AM20</f>
        <v>156091.94</v>
      </c>
      <c r="AN15" s="38">
        <f>AN16+AN17+AN18+AN19+AN20</f>
        <v>0</v>
      </c>
      <c r="AO15" s="38">
        <f t="shared" ref="AO15:AP15" si="2">AO16+AO17+AO18+AO19+AO20</f>
        <v>0</v>
      </c>
      <c r="AP15" s="38">
        <f t="shared" si="2"/>
        <v>0</v>
      </c>
      <c r="AQ15" s="79">
        <f>AQ16+AQ17+AQ18+AQ19+AQ20</f>
        <v>55125.440000000002</v>
      </c>
      <c r="AR15" s="79">
        <f>AR16+AR17+AR18+AR19+AR20</f>
        <v>0</v>
      </c>
      <c r="AS15" s="79">
        <f t="shared" ref="AS15:AT15" si="3">AS16+AS17+AS18+AS19+AS20</f>
        <v>0</v>
      </c>
      <c r="AT15" s="79">
        <f t="shared" si="3"/>
        <v>0</v>
      </c>
      <c r="AU15" s="52">
        <f>AQ15/AM15-1</f>
        <v>-0.64683993292670972</v>
      </c>
      <c r="AV15" s="53" t="e">
        <f>AO15/AK15-1</f>
        <v>#DIV/0!</v>
      </c>
    </row>
    <row r="16" spans="1:52" ht="44.25" customHeight="1">
      <c r="A16" s="127" t="s">
        <v>10</v>
      </c>
      <c r="B16" s="128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7"/>
      <c r="AB16" s="37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>
        <v>141091.94</v>
      </c>
      <c r="AN16" s="38"/>
      <c r="AO16" s="38"/>
      <c r="AP16" s="38"/>
      <c r="AQ16" s="54">
        <v>40125.440000000002</v>
      </c>
      <c r="AR16" s="54"/>
      <c r="AS16" s="54"/>
      <c r="AT16" s="54"/>
      <c r="AU16" s="53"/>
      <c r="AV16" s="53"/>
    </row>
    <row r="17" spans="1:48">
      <c r="A17" s="127" t="s">
        <v>7</v>
      </c>
      <c r="B17" s="128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7"/>
      <c r="AB17" s="37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54"/>
      <c r="AR17" s="59"/>
      <c r="AS17" s="54"/>
      <c r="AT17" s="54"/>
      <c r="AU17" s="53"/>
      <c r="AV17" s="53"/>
    </row>
    <row r="18" spans="1:48" ht="43.2" customHeight="1">
      <c r="A18" s="127" t="s">
        <v>8</v>
      </c>
      <c r="B18" s="128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7"/>
      <c r="AB18" s="37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54"/>
      <c r="AR18" s="88"/>
      <c r="AS18" s="54"/>
      <c r="AT18" s="54"/>
      <c r="AU18" s="53"/>
      <c r="AV18" s="53"/>
    </row>
    <row r="19" spans="1:48">
      <c r="A19" s="127" t="s">
        <v>9</v>
      </c>
      <c r="B19" s="128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7"/>
      <c r="AB19" s="37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>
        <v>15000</v>
      </c>
      <c r="AN19" s="38"/>
      <c r="AO19" s="38"/>
      <c r="AP19" s="38"/>
      <c r="AQ19" s="54"/>
      <c r="AR19" s="54"/>
      <c r="AS19" s="54"/>
      <c r="AT19" s="54"/>
      <c r="AU19" s="53"/>
      <c r="AV19" s="53"/>
    </row>
    <row r="20" spans="1:48">
      <c r="A20" s="127" t="s">
        <v>14</v>
      </c>
      <c r="B20" s="128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7"/>
      <c r="AB20" s="37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7"/>
      <c r="AN20" s="37"/>
      <c r="AO20" s="37"/>
      <c r="AP20" s="37"/>
      <c r="AQ20" s="54">
        <v>15000</v>
      </c>
      <c r="AR20" s="54"/>
      <c r="AS20" s="54"/>
      <c r="AT20" s="54"/>
      <c r="AU20" s="53"/>
      <c r="AV20" s="53"/>
    </row>
    <row r="21" spans="1:48">
      <c r="A21" s="129" t="s">
        <v>43</v>
      </c>
      <c r="B21" s="137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7"/>
      <c r="AB21" s="37"/>
      <c r="AC21" s="38"/>
      <c r="AD21" s="38"/>
      <c r="AE21" s="38"/>
      <c r="AF21" s="38"/>
      <c r="AG21" s="38"/>
      <c r="AH21" s="38"/>
      <c r="AI21" s="76">
        <f>AI22+AI23+AI24+AI25+AI26</f>
        <v>26697082.129999999</v>
      </c>
      <c r="AJ21" s="76">
        <f>AJ22+AJ23+AJ24+AJ25+AJ26</f>
        <v>0</v>
      </c>
      <c r="AK21" s="76">
        <f t="shared" ref="AK21:AL21" si="4">AK22+AK23+AK24+AK25+AK26</f>
        <v>0</v>
      </c>
      <c r="AL21" s="76">
        <f t="shared" si="4"/>
        <v>0</v>
      </c>
      <c r="AM21" s="76">
        <f>AM22+AM23+AM24+AM25+AM26</f>
        <v>7046213.1400000006</v>
      </c>
      <c r="AN21" s="76">
        <f>AN22+AN23+AN24+AN25+AN26</f>
        <v>0</v>
      </c>
      <c r="AO21" s="76">
        <f t="shared" ref="AO21:AP21" si="5">AO22+AO23+AO24+AO25+AO26</f>
        <v>0</v>
      </c>
      <c r="AP21" s="76">
        <f t="shared" si="5"/>
        <v>0</v>
      </c>
      <c r="AQ21" s="79">
        <f>AQ22+AQ23+AQ24+AQ25+AQ26</f>
        <v>363256.87</v>
      </c>
      <c r="AR21" s="79">
        <f>AR22+AR23+AR24+AR25+AR26</f>
        <v>0</v>
      </c>
      <c r="AS21" s="79">
        <f t="shared" ref="AS21:AT21" si="6">AS22+AS23+AS24+AS25+AS26</f>
        <v>0</v>
      </c>
      <c r="AT21" s="79">
        <f t="shared" si="6"/>
        <v>0</v>
      </c>
      <c r="AU21" s="52">
        <f>AQ21/AM21-1</f>
        <v>-0.9484465112277316</v>
      </c>
      <c r="AV21" s="53" t="e">
        <f>AS21/AO21-1</f>
        <v>#DIV/0!</v>
      </c>
    </row>
    <row r="22" spans="1:48" ht="45" customHeight="1">
      <c r="A22" s="127" t="s">
        <v>10</v>
      </c>
      <c r="B22" s="128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7"/>
      <c r="AB22" s="37"/>
      <c r="AC22" s="38"/>
      <c r="AD22" s="38"/>
      <c r="AE22" s="38"/>
      <c r="AF22" s="38"/>
      <c r="AG22" s="38"/>
      <c r="AH22" s="38"/>
      <c r="AI22" s="38">
        <f>25203858.74+194052.76</f>
        <v>25397911.5</v>
      </c>
      <c r="AJ22" s="38">
        <v>0</v>
      </c>
      <c r="AK22" s="38"/>
      <c r="AL22" s="38"/>
      <c r="AM22" s="38">
        <v>6735942.4500000002</v>
      </c>
      <c r="AN22" s="38"/>
      <c r="AO22" s="38"/>
      <c r="AP22" s="38"/>
      <c r="AQ22" s="54">
        <v>363256.87</v>
      </c>
      <c r="AR22" s="54"/>
      <c r="AS22" s="54"/>
      <c r="AT22" s="54"/>
      <c r="AU22" s="52"/>
      <c r="AV22" s="53"/>
    </row>
    <row r="23" spans="1:48">
      <c r="A23" s="127" t="s">
        <v>7</v>
      </c>
      <c r="B23" s="128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/>
      <c r="AB23" s="37"/>
      <c r="AC23" s="38"/>
      <c r="AD23" s="38"/>
      <c r="AE23" s="38"/>
      <c r="AF23" s="38"/>
      <c r="AG23" s="38"/>
      <c r="AH23" s="38"/>
      <c r="AI23" s="38">
        <v>1250280.08</v>
      </c>
      <c r="AJ23" s="38"/>
      <c r="AK23" s="38"/>
      <c r="AL23" s="38"/>
      <c r="AM23" s="38">
        <v>209315.95</v>
      </c>
      <c r="AN23" s="76"/>
      <c r="AO23" s="76"/>
      <c r="AP23" s="38"/>
      <c r="AQ23" s="54"/>
      <c r="AR23" s="54"/>
      <c r="AS23" s="54"/>
      <c r="AT23" s="54"/>
      <c r="AU23" s="52"/>
      <c r="AV23" s="53"/>
    </row>
    <row r="24" spans="1:48" ht="43.2" customHeight="1">
      <c r="A24" s="127" t="s">
        <v>8</v>
      </c>
      <c r="B24" s="128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7"/>
      <c r="AB24" s="37"/>
      <c r="AC24" s="38"/>
      <c r="AD24" s="38"/>
      <c r="AE24" s="38"/>
      <c r="AF24" s="38"/>
      <c r="AG24" s="38"/>
      <c r="AH24" s="38"/>
      <c r="AI24" s="38">
        <v>48890.55</v>
      </c>
      <c r="AJ24" s="38"/>
      <c r="AK24" s="38"/>
      <c r="AL24" s="38"/>
      <c r="AM24" s="38">
        <v>100954.74</v>
      </c>
      <c r="AN24" s="76"/>
      <c r="AO24" s="76"/>
      <c r="AP24" s="38"/>
      <c r="AQ24" s="54"/>
      <c r="AR24" s="54"/>
      <c r="AS24" s="54"/>
      <c r="AT24" s="54"/>
      <c r="AU24" s="52"/>
      <c r="AV24" s="53"/>
    </row>
    <row r="25" spans="1:48">
      <c r="A25" s="127" t="s">
        <v>9</v>
      </c>
      <c r="B25" s="128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7"/>
      <c r="AB25" s="37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76"/>
      <c r="AO25" s="76"/>
      <c r="AP25" s="38"/>
      <c r="AQ25" s="54"/>
      <c r="AR25" s="54"/>
      <c r="AS25" s="54"/>
      <c r="AT25" s="54"/>
      <c r="AU25" s="52"/>
      <c r="AV25" s="53"/>
    </row>
    <row r="26" spans="1:48">
      <c r="A26" s="127" t="s">
        <v>14</v>
      </c>
      <c r="B26" s="128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7"/>
      <c r="AB26" s="37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76"/>
      <c r="AO26" s="76"/>
      <c r="AP26" s="38"/>
      <c r="AQ26" s="54"/>
      <c r="AR26" s="54"/>
      <c r="AS26" s="54"/>
      <c r="AT26" s="54"/>
      <c r="AU26" s="52"/>
      <c r="AV26" s="53"/>
    </row>
    <row r="27" spans="1:48">
      <c r="A27" s="129" t="s">
        <v>44</v>
      </c>
      <c r="B27" s="137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7"/>
      <c r="AB27" s="37"/>
      <c r="AC27" s="38"/>
      <c r="AD27" s="38"/>
      <c r="AE27" s="38"/>
      <c r="AF27" s="38"/>
      <c r="AG27" s="38"/>
      <c r="AH27" s="38"/>
      <c r="AI27" s="76">
        <f>AI28+AI29+AI30+AI31+AI32</f>
        <v>6637461.5299999993</v>
      </c>
      <c r="AJ27" s="76">
        <f t="shared" ref="AJ27:AL27" si="7">AJ28+AJ29+AJ30+AJ31+AJ32</f>
        <v>0</v>
      </c>
      <c r="AK27" s="76">
        <v>0</v>
      </c>
      <c r="AL27" s="76">
        <f t="shared" si="7"/>
        <v>0</v>
      </c>
      <c r="AM27" s="76">
        <f>AM28+AM29+AM30+AM31+AM32</f>
        <v>9950491.6699999981</v>
      </c>
      <c r="AN27" s="76">
        <f t="shared" ref="AN27:AT27" si="8">AN28+AN29+AN30+AN31+AN32</f>
        <v>7551208.0300000003</v>
      </c>
      <c r="AO27" s="76">
        <f t="shared" si="8"/>
        <v>0</v>
      </c>
      <c r="AP27" s="76">
        <f t="shared" si="8"/>
        <v>0</v>
      </c>
      <c r="AQ27" s="79">
        <f>AQ28+AQ29+AQ30+AQ31+AQ32</f>
        <v>9146565.7200000007</v>
      </c>
      <c r="AR27" s="79">
        <f t="shared" si="8"/>
        <v>7551208.0300000003</v>
      </c>
      <c r="AS27" s="79">
        <f t="shared" si="8"/>
        <v>7551208.0300000003</v>
      </c>
      <c r="AT27" s="79">
        <f t="shared" si="8"/>
        <v>7551208.0300000003</v>
      </c>
      <c r="AU27" s="52">
        <f>AQ27/AM27-1</f>
        <v>-8.0792585598938316E-2</v>
      </c>
      <c r="AV27" s="52" t="e">
        <f>AS27/AO27-1</f>
        <v>#DIV/0!</v>
      </c>
    </row>
    <row r="28" spans="1:48" ht="44.4" customHeight="1">
      <c r="A28" s="127" t="s">
        <v>10</v>
      </c>
      <c r="B28" s="128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7"/>
      <c r="AB28" s="37"/>
      <c r="AC28" s="38"/>
      <c r="AD28" s="38"/>
      <c r="AE28" s="38"/>
      <c r="AF28" s="38"/>
      <c r="AG28" s="38"/>
      <c r="AH28" s="38"/>
      <c r="AI28" s="38">
        <v>6054851.5499999998</v>
      </c>
      <c r="AJ28" s="38"/>
      <c r="AK28" s="38">
        <v>0</v>
      </c>
      <c r="AL28" s="38"/>
      <c r="AM28" s="38">
        <v>9699259.0299999993</v>
      </c>
      <c r="AN28" s="38">
        <v>7551208.0300000003</v>
      </c>
      <c r="AO28" s="38"/>
      <c r="AP28" s="38"/>
      <c r="AQ28" s="54">
        <v>9146565.7200000007</v>
      </c>
      <c r="AR28" s="54">
        <v>7551208.0300000003</v>
      </c>
      <c r="AS28" s="54">
        <v>7551208.0300000003</v>
      </c>
      <c r="AT28" s="54">
        <v>7551208.0300000003</v>
      </c>
      <c r="AU28" s="53"/>
      <c r="AV28" s="53"/>
    </row>
    <row r="29" spans="1:48">
      <c r="A29" s="127" t="s">
        <v>7</v>
      </c>
      <c r="B29" s="128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7"/>
      <c r="AB29" s="37"/>
      <c r="AC29" s="38"/>
      <c r="AD29" s="38"/>
      <c r="AE29" s="38"/>
      <c r="AF29" s="38"/>
      <c r="AG29" s="38"/>
      <c r="AH29" s="38"/>
      <c r="AI29" s="38">
        <v>433698.23</v>
      </c>
      <c r="AJ29" s="38"/>
      <c r="AK29" s="38"/>
      <c r="AL29" s="38"/>
      <c r="AM29" s="38">
        <v>119374.78</v>
      </c>
      <c r="AN29" s="76"/>
      <c r="AO29" s="76"/>
      <c r="AP29" s="38"/>
      <c r="AQ29" s="54"/>
      <c r="AR29" s="54"/>
      <c r="AS29" s="54"/>
      <c r="AT29" s="54"/>
      <c r="AU29" s="53"/>
      <c r="AV29" s="53"/>
    </row>
    <row r="30" spans="1:48" ht="45" customHeight="1">
      <c r="A30" s="127" t="s">
        <v>8</v>
      </c>
      <c r="B30" s="128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7"/>
      <c r="AB30" s="37"/>
      <c r="AC30" s="38"/>
      <c r="AD30" s="38"/>
      <c r="AE30" s="38"/>
      <c r="AF30" s="38"/>
      <c r="AG30" s="38"/>
      <c r="AH30" s="38"/>
      <c r="AI30" s="38">
        <v>148911.75</v>
      </c>
      <c r="AJ30" s="38"/>
      <c r="AK30" s="38"/>
      <c r="AL30" s="38"/>
      <c r="AM30" s="38">
        <v>131857.85999999999</v>
      </c>
      <c r="AN30" s="76"/>
      <c r="AO30" s="76"/>
      <c r="AP30" s="38"/>
      <c r="AQ30" s="54"/>
      <c r="AR30" s="54"/>
      <c r="AS30" s="54"/>
      <c r="AT30" s="54"/>
      <c r="AU30" s="53"/>
      <c r="AV30" s="53"/>
    </row>
    <row r="31" spans="1:48">
      <c r="A31" s="127" t="s">
        <v>9</v>
      </c>
      <c r="B31" s="128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7"/>
      <c r="AB31" s="37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76"/>
      <c r="AO31" s="76"/>
      <c r="AP31" s="38"/>
      <c r="AQ31" s="54"/>
      <c r="AR31" s="54"/>
      <c r="AS31" s="54"/>
      <c r="AT31" s="54"/>
      <c r="AU31" s="53"/>
      <c r="AV31" s="53"/>
    </row>
    <row r="32" spans="1:48">
      <c r="A32" s="127" t="s">
        <v>14</v>
      </c>
      <c r="B32" s="128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7"/>
      <c r="AB32" s="37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76"/>
      <c r="AO32" s="76"/>
      <c r="AP32" s="38"/>
      <c r="AQ32" s="54"/>
      <c r="AR32" s="54"/>
      <c r="AS32" s="54"/>
      <c r="AT32" s="54"/>
      <c r="AU32" s="53"/>
      <c r="AV32" s="53"/>
    </row>
    <row r="33" spans="1:48">
      <c r="A33" s="129" t="s">
        <v>45</v>
      </c>
      <c r="B33" s="130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7"/>
      <c r="AB33" s="37"/>
      <c r="AC33" s="38"/>
      <c r="AD33" s="38"/>
      <c r="AE33" s="38"/>
      <c r="AF33" s="38"/>
      <c r="AG33" s="38"/>
      <c r="AH33" s="38"/>
      <c r="AI33" s="76">
        <f t="shared" ref="AI33:AT33" si="9">AI34+AI35+AI36+AI37+AI38</f>
        <v>397801.93</v>
      </c>
      <c r="AJ33" s="76">
        <f t="shared" si="9"/>
        <v>0</v>
      </c>
      <c r="AK33" s="76">
        <f t="shared" si="9"/>
        <v>0</v>
      </c>
      <c r="AL33" s="76">
        <f t="shared" si="9"/>
        <v>0</v>
      </c>
      <c r="AM33" s="76">
        <f t="shared" si="9"/>
        <v>1912.76</v>
      </c>
      <c r="AN33" s="76">
        <f t="shared" si="9"/>
        <v>0</v>
      </c>
      <c r="AO33" s="76">
        <f t="shared" si="9"/>
        <v>0</v>
      </c>
      <c r="AP33" s="76">
        <f t="shared" si="9"/>
        <v>0</v>
      </c>
      <c r="AQ33" s="79">
        <f t="shared" si="9"/>
        <v>29949.89</v>
      </c>
      <c r="AR33" s="79">
        <f t="shared" si="9"/>
        <v>0</v>
      </c>
      <c r="AS33" s="79">
        <f t="shared" si="9"/>
        <v>0</v>
      </c>
      <c r="AT33" s="79">
        <f t="shared" si="9"/>
        <v>0</v>
      </c>
      <c r="AU33" s="52">
        <f>AQ33/AM33-1</f>
        <v>14.657944540872874</v>
      </c>
      <c r="AV33" s="52" t="e">
        <f>AS33/AO33-1</f>
        <v>#DIV/0!</v>
      </c>
    </row>
    <row r="34" spans="1:48" ht="43.2" customHeight="1">
      <c r="A34" s="127" t="s">
        <v>10</v>
      </c>
      <c r="B34" s="128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7"/>
      <c r="AB34" s="37"/>
      <c r="AC34" s="38"/>
      <c r="AD34" s="38"/>
      <c r="AE34" s="38"/>
      <c r="AF34" s="38"/>
      <c r="AG34" s="38"/>
      <c r="AH34" s="38"/>
      <c r="AI34" s="38">
        <v>14976.62</v>
      </c>
      <c r="AJ34" s="38"/>
      <c r="AK34" s="38"/>
      <c r="AL34" s="38"/>
      <c r="AM34" s="38">
        <v>1912.76</v>
      </c>
      <c r="AN34" s="38"/>
      <c r="AO34" s="76"/>
      <c r="AP34" s="76"/>
      <c r="AQ34" s="79">
        <v>29949.89</v>
      </c>
      <c r="AR34" s="79"/>
      <c r="AS34" s="79"/>
      <c r="AT34" s="79"/>
      <c r="AU34" s="53"/>
      <c r="AV34" s="53"/>
    </row>
    <row r="35" spans="1:48">
      <c r="A35" s="127" t="s">
        <v>7</v>
      </c>
      <c r="B35" s="128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7"/>
      <c r="AB35" s="37"/>
      <c r="AC35" s="38"/>
      <c r="AD35" s="38"/>
      <c r="AE35" s="38"/>
      <c r="AF35" s="38"/>
      <c r="AG35" s="38"/>
      <c r="AH35" s="38"/>
      <c r="AI35" s="38">
        <v>228134.86</v>
      </c>
      <c r="AJ35" s="38"/>
      <c r="AK35" s="38"/>
      <c r="AL35" s="38"/>
      <c r="AM35" s="37"/>
      <c r="AN35" s="40"/>
      <c r="AO35" s="40"/>
      <c r="AP35" s="40"/>
      <c r="AQ35" s="79"/>
      <c r="AR35" s="79"/>
      <c r="AS35" s="79"/>
      <c r="AT35" s="79"/>
      <c r="AU35" s="53"/>
      <c r="AV35" s="53"/>
    </row>
    <row r="36" spans="1:48" ht="43.2" customHeight="1">
      <c r="A36" s="127" t="s">
        <v>8</v>
      </c>
      <c r="B36" s="128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7"/>
      <c r="AB36" s="37"/>
      <c r="AC36" s="38"/>
      <c r="AD36" s="38"/>
      <c r="AE36" s="38"/>
      <c r="AF36" s="38"/>
      <c r="AG36" s="38"/>
      <c r="AH36" s="38"/>
      <c r="AI36" s="38">
        <v>154690.45000000001</v>
      </c>
      <c r="AJ36" s="38"/>
      <c r="AK36" s="38"/>
      <c r="AL36" s="38"/>
      <c r="AM36" s="37"/>
      <c r="AN36" s="40"/>
      <c r="AO36" s="40"/>
      <c r="AP36" s="40"/>
      <c r="AQ36" s="79"/>
      <c r="AR36" s="79"/>
      <c r="AS36" s="79"/>
      <c r="AT36" s="79"/>
      <c r="AU36" s="53"/>
      <c r="AV36" s="53"/>
    </row>
    <row r="37" spans="1:48">
      <c r="A37" s="127" t="s">
        <v>9</v>
      </c>
      <c r="B37" s="128"/>
      <c r="C37" s="7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7"/>
      <c r="AB37" s="37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7"/>
      <c r="AN37" s="40"/>
      <c r="AO37" s="40"/>
      <c r="AP37" s="40"/>
      <c r="AQ37" s="79"/>
      <c r="AR37" s="79"/>
      <c r="AS37" s="79"/>
      <c r="AT37" s="79"/>
      <c r="AU37" s="53"/>
      <c r="AV37" s="53"/>
    </row>
    <row r="38" spans="1:48">
      <c r="A38" s="127" t="s">
        <v>14</v>
      </c>
      <c r="B38" s="128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7"/>
      <c r="AB38" s="37"/>
      <c r="AC38" s="38"/>
      <c r="AD38" s="38"/>
      <c r="AE38" s="38"/>
      <c r="AF38" s="38"/>
      <c r="AG38" s="38"/>
      <c r="AH38" s="38"/>
      <c r="AI38" s="37"/>
      <c r="AJ38" s="37"/>
      <c r="AK38" s="37"/>
      <c r="AL38" s="37"/>
      <c r="AM38" s="40"/>
      <c r="AN38" s="40"/>
      <c r="AO38" s="40"/>
      <c r="AP38" s="40"/>
      <c r="AQ38" s="79"/>
      <c r="AR38" s="79"/>
      <c r="AS38" s="79"/>
      <c r="AT38" s="79"/>
      <c r="AU38" s="53"/>
      <c r="AV38" s="53"/>
    </row>
    <row r="39" spans="1:48">
      <c r="A39" s="129" t="s">
        <v>48</v>
      </c>
      <c r="B39" s="137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7"/>
      <c r="AB39" s="37"/>
      <c r="AC39" s="38"/>
      <c r="AD39" s="38"/>
      <c r="AE39" s="38"/>
      <c r="AF39" s="38"/>
      <c r="AG39" s="38"/>
      <c r="AH39" s="38"/>
      <c r="AI39" s="37"/>
      <c r="AJ39" s="37"/>
      <c r="AK39" s="37"/>
      <c r="AL39" s="37"/>
      <c r="AM39" s="76">
        <f t="shared" ref="AM39:AT39" si="10">AM40+AM41+AM42+AM43+AM44</f>
        <v>11098207.4</v>
      </c>
      <c r="AN39" s="76">
        <f t="shared" si="10"/>
        <v>0</v>
      </c>
      <c r="AO39" s="76">
        <f t="shared" si="10"/>
        <v>0</v>
      </c>
      <c r="AP39" s="76">
        <f t="shared" si="10"/>
        <v>0</v>
      </c>
      <c r="AQ39" s="79">
        <f t="shared" si="10"/>
        <v>15613162.74</v>
      </c>
      <c r="AR39" s="79">
        <f t="shared" si="10"/>
        <v>8440500</v>
      </c>
      <c r="AS39" s="79">
        <f t="shared" si="10"/>
        <v>0</v>
      </c>
      <c r="AT39" s="79">
        <f t="shared" si="10"/>
        <v>0</v>
      </c>
      <c r="AU39" s="52">
        <f>AQ39/AM39-1</f>
        <v>0.40681843267769535</v>
      </c>
      <c r="AV39" s="53" t="e">
        <f>AS39/AO39-1</f>
        <v>#DIV/0!</v>
      </c>
    </row>
    <row r="40" spans="1:48" ht="45" customHeight="1">
      <c r="A40" s="127" t="s">
        <v>10</v>
      </c>
      <c r="B40" s="128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7"/>
      <c r="AB40" s="37"/>
      <c r="AC40" s="38"/>
      <c r="AD40" s="38"/>
      <c r="AE40" s="38"/>
      <c r="AF40" s="38"/>
      <c r="AG40" s="38"/>
      <c r="AH40" s="38"/>
      <c r="AI40" s="37"/>
      <c r="AJ40" s="37"/>
      <c r="AK40" s="37"/>
      <c r="AL40" s="37"/>
      <c r="AM40" s="38">
        <v>9947930.2799999993</v>
      </c>
      <c r="AN40" s="76"/>
      <c r="AO40" s="76"/>
      <c r="AP40" s="76"/>
      <c r="AQ40" s="79">
        <v>15613162.74</v>
      </c>
      <c r="AR40" s="79">
        <v>8440500</v>
      </c>
      <c r="AS40" s="79"/>
      <c r="AT40" s="79"/>
      <c r="AU40" s="53"/>
      <c r="AV40" s="53"/>
    </row>
    <row r="41" spans="1:48">
      <c r="A41" s="127" t="s">
        <v>7</v>
      </c>
      <c r="B41" s="128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7"/>
      <c r="AB41" s="37"/>
      <c r="AC41" s="38"/>
      <c r="AD41" s="38"/>
      <c r="AE41" s="38"/>
      <c r="AF41" s="38"/>
      <c r="AG41" s="38"/>
      <c r="AH41" s="38"/>
      <c r="AI41" s="37"/>
      <c r="AJ41" s="37"/>
      <c r="AK41" s="37"/>
      <c r="AL41" s="37"/>
      <c r="AM41" s="38">
        <v>1001348.74</v>
      </c>
      <c r="AN41" s="76"/>
      <c r="AO41" s="76"/>
      <c r="AP41" s="76"/>
      <c r="AQ41" s="79"/>
      <c r="AR41" s="79"/>
      <c r="AS41" s="79"/>
      <c r="AT41" s="79"/>
      <c r="AU41" s="53"/>
      <c r="AV41" s="53"/>
    </row>
    <row r="42" spans="1:48" ht="43.8" customHeight="1">
      <c r="A42" s="127" t="s">
        <v>8</v>
      </c>
      <c r="B42" s="128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7"/>
      <c r="AB42" s="37"/>
      <c r="AC42" s="38"/>
      <c r="AD42" s="38"/>
      <c r="AE42" s="38"/>
      <c r="AF42" s="38"/>
      <c r="AG42" s="38"/>
      <c r="AH42" s="38"/>
      <c r="AI42" s="37"/>
      <c r="AJ42" s="37"/>
      <c r="AK42" s="37"/>
      <c r="AL42" s="37"/>
      <c r="AM42" s="38">
        <v>148928.38</v>
      </c>
      <c r="AN42" s="76"/>
      <c r="AO42" s="76"/>
      <c r="AP42" s="76"/>
      <c r="AQ42" s="79"/>
      <c r="AR42" s="79"/>
      <c r="AS42" s="79"/>
      <c r="AT42" s="79"/>
      <c r="AU42" s="53"/>
      <c r="AV42" s="53"/>
    </row>
    <row r="43" spans="1:48">
      <c r="A43" s="127" t="s">
        <v>9</v>
      </c>
      <c r="B43" s="128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7"/>
      <c r="AB43" s="37"/>
      <c r="AC43" s="38"/>
      <c r="AD43" s="38"/>
      <c r="AE43" s="38"/>
      <c r="AF43" s="38"/>
      <c r="AG43" s="38"/>
      <c r="AH43" s="38"/>
      <c r="AI43" s="37"/>
      <c r="AJ43" s="37"/>
      <c r="AK43" s="37"/>
      <c r="AL43" s="37"/>
      <c r="AM43" s="76"/>
      <c r="AN43" s="76"/>
      <c r="AO43" s="76"/>
      <c r="AP43" s="76"/>
      <c r="AQ43" s="79"/>
      <c r="AR43" s="79"/>
      <c r="AS43" s="79"/>
      <c r="AT43" s="79"/>
      <c r="AU43" s="53"/>
      <c r="AV43" s="53"/>
    </row>
    <row r="44" spans="1:48">
      <c r="A44" s="127" t="s">
        <v>14</v>
      </c>
      <c r="B44" s="128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7"/>
      <c r="AB44" s="37"/>
      <c r="AC44" s="38"/>
      <c r="AD44" s="38"/>
      <c r="AE44" s="38"/>
      <c r="AF44" s="38"/>
      <c r="AG44" s="38"/>
      <c r="AH44" s="38"/>
      <c r="AI44" s="37"/>
      <c r="AJ44" s="37"/>
      <c r="AK44" s="37"/>
      <c r="AL44" s="37"/>
      <c r="AM44" s="76"/>
      <c r="AN44" s="76"/>
      <c r="AO44" s="76"/>
      <c r="AP44" s="76"/>
      <c r="AQ44" s="79"/>
      <c r="AR44" s="79"/>
      <c r="AS44" s="79"/>
      <c r="AT44" s="79"/>
      <c r="AU44" s="53"/>
      <c r="AV44" s="53"/>
    </row>
    <row r="45" spans="1:48">
      <c r="A45" s="129" t="s">
        <v>47</v>
      </c>
      <c r="B45" s="130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7"/>
      <c r="AB45" s="37"/>
      <c r="AC45" s="38"/>
      <c r="AD45" s="38"/>
      <c r="AE45" s="38"/>
      <c r="AF45" s="38"/>
      <c r="AG45" s="38"/>
      <c r="AH45" s="38"/>
      <c r="AI45" s="37"/>
      <c r="AJ45" s="37"/>
      <c r="AK45" s="37"/>
      <c r="AL45" s="37"/>
      <c r="AM45" s="76">
        <f t="shared" ref="AM45:AT45" si="11">AM46+AM47+AM48+AM49+AM50</f>
        <v>197302.94999999998</v>
      </c>
      <c r="AN45" s="76">
        <f t="shared" si="11"/>
        <v>0</v>
      </c>
      <c r="AO45" s="76">
        <f t="shared" si="11"/>
        <v>0</v>
      </c>
      <c r="AP45" s="76">
        <f t="shared" si="11"/>
        <v>0</v>
      </c>
      <c r="AQ45" s="79">
        <f t="shared" si="11"/>
        <v>61975.74</v>
      </c>
      <c r="AR45" s="79">
        <f t="shared" si="11"/>
        <v>0</v>
      </c>
      <c r="AS45" s="79">
        <f t="shared" si="11"/>
        <v>0</v>
      </c>
      <c r="AT45" s="79">
        <f t="shared" si="11"/>
        <v>0</v>
      </c>
      <c r="AU45" s="52">
        <f>AQ45/AM45-1</f>
        <v>-0.68588538590021075</v>
      </c>
      <c r="AV45" s="53" t="e">
        <f>AS45/AO45-1</f>
        <v>#DIV/0!</v>
      </c>
    </row>
    <row r="46" spans="1:48" ht="43.8" customHeight="1">
      <c r="A46" s="127" t="s">
        <v>10</v>
      </c>
      <c r="B46" s="128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7"/>
      <c r="AB46" s="37"/>
      <c r="AC46" s="38"/>
      <c r="AD46" s="38"/>
      <c r="AE46" s="38"/>
      <c r="AF46" s="38"/>
      <c r="AG46" s="38"/>
      <c r="AH46" s="38"/>
      <c r="AI46" s="37"/>
      <c r="AJ46" s="37"/>
      <c r="AK46" s="37"/>
      <c r="AL46" s="37"/>
      <c r="AM46" s="38">
        <v>11132.85</v>
      </c>
      <c r="AN46" s="38"/>
      <c r="AO46" s="38"/>
      <c r="AP46" s="38"/>
      <c r="AQ46" s="54">
        <v>61975.74</v>
      </c>
      <c r="AR46" s="54"/>
      <c r="AS46" s="54"/>
      <c r="AT46" s="54"/>
      <c r="AU46" s="53"/>
      <c r="AV46" s="53"/>
    </row>
    <row r="47" spans="1:48">
      <c r="A47" s="127" t="s">
        <v>7</v>
      </c>
      <c r="B47" s="128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7"/>
      <c r="AB47" s="37"/>
      <c r="AC47" s="38"/>
      <c r="AD47" s="38"/>
      <c r="AE47" s="38"/>
      <c r="AF47" s="38"/>
      <c r="AG47" s="38"/>
      <c r="AH47" s="38"/>
      <c r="AI47" s="37"/>
      <c r="AJ47" s="37"/>
      <c r="AK47" s="37"/>
      <c r="AL47" s="37"/>
      <c r="AM47" s="38">
        <v>123478.26</v>
      </c>
      <c r="AN47" s="38"/>
      <c r="AO47" s="38"/>
      <c r="AP47" s="38"/>
      <c r="AQ47" s="54"/>
      <c r="AR47" s="54"/>
      <c r="AS47" s="54"/>
      <c r="AT47" s="54"/>
      <c r="AU47" s="53"/>
      <c r="AV47" s="53"/>
    </row>
    <row r="48" spans="1:48" ht="43.8" customHeight="1">
      <c r="A48" s="127" t="s">
        <v>8</v>
      </c>
      <c r="B48" s="128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7"/>
      <c r="AB48" s="37"/>
      <c r="AC48" s="38"/>
      <c r="AD48" s="38"/>
      <c r="AE48" s="38"/>
      <c r="AF48" s="38"/>
      <c r="AG48" s="38"/>
      <c r="AH48" s="38"/>
      <c r="AI48" s="37"/>
      <c r="AJ48" s="37"/>
      <c r="AK48" s="37"/>
      <c r="AL48" s="37"/>
      <c r="AM48" s="38">
        <v>62691.839999999997</v>
      </c>
      <c r="AN48" s="38"/>
      <c r="AO48" s="38"/>
      <c r="AP48" s="38"/>
      <c r="AQ48" s="54"/>
      <c r="AR48" s="54"/>
      <c r="AS48" s="54"/>
      <c r="AT48" s="54"/>
      <c r="AU48" s="53"/>
      <c r="AV48" s="53"/>
    </row>
    <row r="49" spans="1:51">
      <c r="A49" s="127" t="s">
        <v>9</v>
      </c>
      <c r="B49" s="128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7"/>
      <c r="AB49" s="37"/>
      <c r="AC49" s="38"/>
      <c r="AD49" s="38"/>
      <c r="AE49" s="38"/>
      <c r="AF49" s="38"/>
      <c r="AG49" s="38"/>
      <c r="AH49" s="38"/>
      <c r="AI49" s="37"/>
      <c r="AJ49" s="37"/>
      <c r="AK49" s="37"/>
      <c r="AL49" s="37"/>
      <c r="AM49" s="38"/>
      <c r="AN49" s="38"/>
      <c r="AO49" s="38"/>
      <c r="AP49" s="38"/>
      <c r="AQ49" s="54"/>
      <c r="AR49" s="54"/>
      <c r="AS49" s="54"/>
      <c r="AT49" s="54"/>
      <c r="AU49" s="53"/>
      <c r="AV49" s="53"/>
    </row>
    <row r="50" spans="1:51">
      <c r="A50" s="127" t="s">
        <v>14</v>
      </c>
      <c r="B50" s="128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7"/>
      <c r="AB50" s="37"/>
      <c r="AC50" s="38"/>
      <c r="AD50" s="38"/>
      <c r="AE50" s="38"/>
      <c r="AF50" s="38"/>
      <c r="AG50" s="38"/>
      <c r="AH50" s="38"/>
      <c r="AI50" s="37"/>
      <c r="AJ50" s="37"/>
      <c r="AK50" s="37"/>
      <c r="AL50" s="37"/>
      <c r="AM50" s="37"/>
      <c r="AN50" s="37"/>
      <c r="AO50" s="37"/>
      <c r="AP50" s="37"/>
      <c r="AQ50" s="54"/>
      <c r="AR50" s="54"/>
      <c r="AS50" s="54"/>
      <c r="AT50" s="54"/>
      <c r="AU50" s="53"/>
      <c r="AV50" s="53"/>
    </row>
    <row r="51" spans="1:51">
      <c r="A51" s="139" t="s">
        <v>1</v>
      </c>
      <c r="B51" s="140"/>
      <c r="C51" s="138">
        <f>SUM(C53:C57)</f>
        <v>0</v>
      </c>
      <c r="D51" s="138">
        <f>SUM(D53:D57)</f>
        <v>0</v>
      </c>
      <c r="E51" s="138">
        <f t="shared" ref="E51:AD51" si="12">SUM(E53:E57)</f>
        <v>35747.5</v>
      </c>
      <c r="F51" s="138">
        <f t="shared" si="12"/>
        <v>0</v>
      </c>
      <c r="G51" s="138">
        <f t="shared" si="12"/>
        <v>0</v>
      </c>
      <c r="H51" s="138">
        <f t="shared" si="12"/>
        <v>0</v>
      </c>
      <c r="I51" s="138">
        <f t="shared" si="12"/>
        <v>0</v>
      </c>
      <c r="J51" s="138">
        <f t="shared" si="12"/>
        <v>0</v>
      </c>
      <c r="K51" s="138">
        <f t="shared" si="12"/>
        <v>120756.41</v>
      </c>
      <c r="L51" s="138">
        <f t="shared" si="12"/>
        <v>0</v>
      </c>
      <c r="M51" s="138">
        <f t="shared" si="12"/>
        <v>144077.24</v>
      </c>
      <c r="N51" s="138">
        <f t="shared" si="12"/>
        <v>0</v>
      </c>
      <c r="O51" s="138">
        <f t="shared" si="12"/>
        <v>122267.09</v>
      </c>
      <c r="P51" s="138">
        <f t="shared" si="12"/>
        <v>0</v>
      </c>
      <c r="Q51" s="138">
        <f t="shared" si="12"/>
        <v>81760.240000000005</v>
      </c>
      <c r="R51" s="138">
        <f t="shared" si="12"/>
        <v>0</v>
      </c>
      <c r="S51" s="138">
        <f t="shared" si="12"/>
        <v>68067.33</v>
      </c>
      <c r="T51" s="138">
        <f t="shared" si="12"/>
        <v>0</v>
      </c>
      <c r="U51" s="138">
        <f t="shared" si="12"/>
        <v>61711.68</v>
      </c>
      <c r="V51" s="138">
        <f t="shared" si="12"/>
        <v>0</v>
      </c>
      <c r="W51" s="138">
        <f t="shared" si="12"/>
        <v>0</v>
      </c>
      <c r="X51" s="138">
        <f t="shared" si="12"/>
        <v>0</v>
      </c>
      <c r="Y51" s="138">
        <f t="shared" si="12"/>
        <v>217.78</v>
      </c>
      <c r="Z51" s="138">
        <f t="shared" si="12"/>
        <v>0</v>
      </c>
      <c r="AA51" s="145">
        <f t="shared" si="12"/>
        <v>187710.37</v>
      </c>
      <c r="AB51" s="145">
        <f t="shared" si="12"/>
        <v>0</v>
      </c>
      <c r="AC51" s="145">
        <f t="shared" si="12"/>
        <v>333233.98</v>
      </c>
      <c r="AD51" s="145">
        <f t="shared" si="12"/>
        <v>0</v>
      </c>
      <c r="AE51" s="125">
        <f t="shared" ref="AE51:AT51" si="13">AE53+AE54+AE55+AE56+AE57</f>
        <v>797761.55</v>
      </c>
      <c r="AF51" s="125">
        <f t="shared" si="13"/>
        <v>0</v>
      </c>
      <c r="AG51" s="125">
        <v>0</v>
      </c>
      <c r="AH51" s="125">
        <f t="shared" si="13"/>
        <v>0</v>
      </c>
      <c r="AI51" s="125">
        <f t="shared" si="13"/>
        <v>177719.41</v>
      </c>
      <c r="AJ51" s="125">
        <f t="shared" si="13"/>
        <v>0</v>
      </c>
      <c r="AK51" s="125">
        <f t="shared" si="13"/>
        <v>0</v>
      </c>
      <c r="AL51" s="125">
        <f t="shared" si="13"/>
        <v>0</v>
      </c>
      <c r="AM51" s="125">
        <f t="shared" si="13"/>
        <v>37932.990000000005</v>
      </c>
      <c r="AN51" s="125">
        <f t="shared" si="13"/>
        <v>0</v>
      </c>
      <c r="AO51" s="125">
        <f t="shared" si="13"/>
        <v>0</v>
      </c>
      <c r="AP51" s="125">
        <f t="shared" si="13"/>
        <v>0</v>
      </c>
      <c r="AQ51" s="150">
        <f t="shared" si="13"/>
        <v>699569.6</v>
      </c>
      <c r="AR51" s="150">
        <f t="shared" si="13"/>
        <v>0</v>
      </c>
      <c r="AS51" s="150">
        <f t="shared" si="13"/>
        <v>0</v>
      </c>
      <c r="AT51" s="150">
        <f t="shared" si="13"/>
        <v>0</v>
      </c>
      <c r="AU51" s="143">
        <f>AQ51/AM51-1</f>
        <v>17.442247763753922</v>
      </c>
      <c r="AV51" s="143" t="e">
        <f>AS51/AO51-1</f>
        <v>#DIV/0!</v>
      </c>
    </row>
    <row r="52" spans="1:51">
      <c r="A52" s="141"/>
      <c r="B52" s="142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32"/>
      <c r="AB52" s="132"/>
      <c r="AC52" s="132"/>
      <c r="AD52" s="132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51"/>
      <c r="AR52" s="151"/>
      <c r="AS52" s="151"/>
      <c r="AT52" s="151"/>
      <c r="AU52" s="144"/>
      <c r="AV52" s="144"/>
    </row>
    <row r="53" spans="1:51" ht="44.4" customHeight="1">
      <c r="A53" s="127" t="s">
        <v>10</v>
      </c>
      <c r="B53" s="128"/>
      <c r="C53" s="2"/>
      <c r="D53" s="2"/>
      <c r="E53" s="2">
        <v>35747.5</v>
      </c>
      <c r="F53" s="2"/>
      <c r="G53" s="2"/>
      <c r="H53" s="2"/>
      <c r="I53" s="2"/>
      <c r="J53" s="2"/>
      <c r="K53" s="2">
        <v>120756.41</v>
      </c>
      <c r="L53" s="2"/>
      <c r="M53" s="2">
        <v>144077.24</v>
      </c>
      <c r="N53" s="2"/>
      <c r="O53" s="2">
        <v>122267.09</v>
      </c>
      <c r="P53" s="2"/>
      <c r="Q53" s="2">
        <v>67770.240000000005</v>
      </c>
      <c r="R53" s="2"/>
      <c r="S53" s="2">
        <f>65281.19+2786.14</f>
        <v>68067.33</v>
      </c>
      <c r="T53" s="2"/>
      <c r="U53" s="2">
        <v>61711.68</v>
      </c>
      <c r="V53" s="2"/>
      <c r="W53" s="2"/>
      <c r="X53" s="2"/>
      <c r="Y53" s="2">
        <v>217.78</v>
      </c>
      <c r="Z53" s="2"/>
      <c r="AA53" s="16">
        <v>35</v>
      </c>
      <c r="AB53" s="16"/>
      <c r="AC53" s="16">
        <f>27611.35+117602.07</f>
        <v>145213.42000000001</v>
      </c>
      <c r="AD53" s="13"/>
      <c r="AE53" s="16">
        <f>30567.15+190377.23</f>
        <v>220944.38</v>
      </c>
      <c r="AF53" s="16"/>
      <c r="AG53" s="16"/>
      <c r="AH53" s="16"/>
      <c r="AI53" s="16">
        <f>73933.92+103785.49</f>
        <v>177719.41</v>
      </c>
      <c r="AJ53" s="16"/>
      <c r="AK53" s="16"/>
      <c r="AL53" s="16"/>
      <c r="AM53" s="16">
        <f>5043.12+32889.87</f>
        <v>37932.990000000005</v>
      </c>
      <c r="AN53" s="16"/>
      <c r="AO53" s="16"/>
      <c r="AP53" s="16"/>
      <c r="AQ53" s="23">
        <f>34987.13+261447.27</f>
        <v>296434.39999999997</v>
      </c>
      <c r="AR53" s="23"/>
      <c r="AS53" s="23"/>
      <c r="AT53" s="23"/>
      <c r="AU53" s="17"/>
      <c r="AV53" s="17"/>
    </row>
    <row r="54" spans="1:51">
      <c r="A54" s="127" t="s">
        <v>7</v>
      </c>
      <c r="B54" s="128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16">
        <v>172262.37</v>
      </c>
      <c r="AB54" s="16"/>
      <c r="AC54" s="16">
        <v>188020.56</v>
      </c>
      <c r="AD54" s="13"/>
      <c r="AE54" s="16">
        <v>372715</v>
      </c>
      <c r="AF54" s="16"/>
      <c r="AG54" s="16"/>
      <c r="AH54" s="16"/>
      <c r="AI54" s="13"/>
      <c r="AJ54" s="13"/>
      <c r="AK54" s="13"/>
      <c r="AL54" s="13"/>
      <c r="AM54" s="16"/>
      <c r="AN54" s="16"/>
      <c r="AO54" s="16"/>
      <c r="AP54" s="16"/>
      <c r="AQ54" s="23"/>
      <c r="AR54" s="23"/>
      <c r="AS54" s="23"/>
      <c r="AT54" s="23"/>
      <c r="AU54" s="17"/>
      <c r="AV54" s="17"/>
    </row>
    <row r="55" spans="1:51" ht="43.8" customHeight="1">
      <c r="A55" s="127" t="s">
        <v>8</v>
      </c>
      <c r="B55" s="12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16"/>
      <c r="AB55" s="16"/>
      <c r="AC55" s="13"/>
      <c r="AD55" s="13"/>
      <c r="AE55" s="16"/>
      <c r="AF55" s="16"/>
      <c r="AG55" s="16"/>
      <c r="AH55" s="16"/>
      <c r="AI55" s="13"/>
      <c r="AJ55" s="13"/>
      <c r="AK55" s="13"/>
      <c r="AL55" s="13"/>
      <c r="AM55" s="13"/>
      <c r="AN55" s="13"/>
      <c r="AO55" s="13"/>
      <c r="AP55" s="13"/>
      <c r="AQ55" s="23"/>
      <c r="AR55" s="23"/>
      <c r="AS55" s="23"/>
      <c r="AT55" s="23"/>
      <c r="AU55" s="17"/>
      <c r="AV55" s="17"/>
    </row>
    <row r="56" spans="1:51">
      <c r="A56" s="127" t="s">
        <v>9</v>
      </c>
      <c r="B56" s="128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>
        <v>13990</v>
      </c>
      <c r="R56" s="2"/>
      <c r="S56" s="2"/>
      <c r="T56" s="2"/>
      <c r="U56" s="2"/>
      <c r="V56" s="2"/>
      <c r="W56" s="2"/>
      <c r="X56" s="2"/>
      <c r="Y56" s="2"/>
      <c r="Z56" s="2"/>
      <c r="AA56" s="16">
        <v>15413</v>
      </c>
      <c r="AB56" s="16"/>
      <c r="AC56" s="13"/>
      <c r="AD56" s="13"/>
      <c r="AE56" s="16">
        <v>204102.17</v>
      </c>
      <c r="AF56" s="16"/>
      <c r="AG56" s="16"/>
      <c r="AH56" s="16"/>
      <c r="AI56" s="13"/>
      <c r="AJ56" s="13"/>
      <c r="AK56" s="13"/>
      <c r="AL56" s="13"/>
      <c r="AM56" s="13"/>
      <c r="AN56" s="13"/>
      <c r="AO56" s="13"/>
      <c r="AP56" s="13"/>
      <c r="AQ56" s="23"/>
      <c r="AR56" s="23"/>
      <c r="AS56" s="23"/>
      <c r="AT56" s="23"/>
      <c r="AU56" s="17"/>
      <c r="AV56" s="17"/>
    </row>
    <row r="57" spans="1:51">
      <c r="A57" s="127" t="s">
        <v>14</v>
      </c>
      <c r="B57" s="12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16"/>
      <c r="AB57" s="16"/>
      <c r="AC57" s="13"/>
      <c r="AD57" s="13"/>
      <c r="AE57" s="16"/>
      <c r="AF57" s="16"/>
      <c r="AG57" s="16"/>
      <c r="AH57" s="16"/>
      <c r="AI57" s="13"/>
      <c r="AJ57" s="13"/>
      <c r="AK57" s="13"/>
      <c r="AL57" s="13"/>
      <c r="AM57" s="13"/>
      <c r="AN57" s="13"/>
      <c r="AO57" s="13"/>
      <c r="AP57" s="13"/>
      <c r="AQ57" s="23">
        <v>403135.2</v>
      </c>
      <c r="AR57" s="23"/>
      <c r="AS57" s="23"/>
      <c r="AT57" s="23"/>
      <c r="AU57" s="17"/>
      <c r="AV57" s="17"/>
    </row>
    <row r="58" spans="1:51">
      <c r="A58" s="139" t="s">
        <v>2</v>
      </c>
      <c r="B58" s="140"/>
      <c r="C58" s="138">
        <v>54846675.530000001</v>
      </c>
      <c r="D58" s="138">
        <v>48940486.590000004</v>
      </c>
      <c r="E58" s="138">
        <f>SUM(E60:E64)</f>
        <v>64656891.350000001</v>
      </c>
      <c r="F58" s="138">
        <f>SUM(F60:F64)</f>
        <v>51440732.669999994</v>
      </c>
      <c r="G58" s="138">
        <f t="shared" ref="G58:AD58" si="14">SUM(G60:G64)</f>
        <v>69207433.140000001</v>
      </c>
      <c r="H58" s="138">
        <f t="shared" si="14"/>
        <v>50454846.649999999</v>
      </c>
      <c r="I58" s="138">
        <f t="shared" si="14"/>
        <v>70742852.230000004</v>
      </c>
      <c r="J58" s="138">
        <f t="shared" si="14"/>
        <v>55024116.890000001</v>
      </c>
      <c r="K58" s="138">
        <f t="shared" si="14"/>
        <v>70605066.099999994</v>
      </c>
      <c r="L58" s="138">
        <f t="shared" si="14"/>
        <v>57943952.730000004</v>
      </c>
      <c r="M58" s="138">
        <f t="shared" si="14"/>
        <v>73371785.549999997</v>
      </c>
      <c r="N58" s="138">
        <f t="shared" si="14"/>
        <v>57519633.82</v>
      </c>
      <c r="O58" s="138">
        <f t="shared" si="14"/>
        <v>69857012.25</v>
      </c>
      <c r="P58" s="138">
        <f t="shared" si="14"/>
        <v>65548817.789999999</v>
      </c>
      <c r="Q58" s="138">
        <f t="shared" si="14"/>
        <v>71509757.569999993</v>
      </c>
      <c r="R58" s="138">
        <f t="shared" si="14"/>
        <v>57862859.439999998</v>
      </c>
      <c r="S58" s="138">
        <f t="shared" si="14"/>
        <v>71486946.959999993</v>
      </c>
      <c r="T58" s="138">
        <f t="shared" si="14"/>
        <v>57789918.439999998</v>
      </c>
      <c r="U58" s="138">
        <f t="shared" si="14"/>
        <v>70592079.479999989</v>
      </c>
      <c r="V58" s="138">
        <f t="shared" si="14"/>
        <v>61579945.239999995</v>
      </c>
      <c r="W58" s="138">
        <f t="shared" si="14"/>
        <v>66866461.460000001</v>
      </c>
      <c r="X58" s="138">
        <f t="shared" si="14"/>
        <v>57735277.960000001</v>
      </c>
      <c r="Y58" s="138">
        <f t="shared" si="14"/>
        <v>103038065.23999999</v>
      </c>
      <c r="Z58" s="138">
        <f t="shared" si="14"/>
        <v>90836160.789999992</v>
      </c>
      <c r="AA58" s="145">
        <f t="shared" si="14"/>
        <v>56387437.119999997</v>
      </c>
      <c r="AB58" s="145">
        <f t="shared" si="14"/>
        <v>15533763.189999999</v>
      </c>
      <c r="AC58" s="145">
        <f t="shared" si="14"/>
        <v>119943838.53</v>
      </c>
      <c r="AD58" s="145">
        <f t="shared" si="14"/>
        <v>72448338.349999994</v>
      </c>
      <c r="AE58" s="125">
        <f t="shared" ref="AE58:AT58" si="15">AE60+AE61+AE62+AE63+AE64</f>
        <v>63217359.389999993</v>
      </c>
      <c r="AF58" s="125">
        <f t="shared" si="15"/>
        <v>27862807.449999999</v>
      </c>
      <c r="AG58" s="125">
        <f t="shared" si="15"/>
        <v>9411597.2899999991</v>
      </c>
      <c r="AH58" s="125">
        <f t="shared" si="15"/>
        <v>0</v>
      </c>
      <c r="AI58" s="125">
        <f t="shared" si="15"/>
        <v>49786014.659999996</v>
      </c>
      <c r="AJ58" s="125">
        <f t="shared" si="15"/>
        <v>26173821.319999997</v>
      </c>
      <c r="AK58" s="125">
        <f t="shared" si="15"/>
        <v>381120</v>
      </c>
      <c r="AL58" s="125">
        <f t="shared" si="15"/>
        <v>0</v>
      </c>
      <c r="AM58" s="148">
        <f t="shared" si="15"/>
        <v>39873417.130000003</v>
      </c>
      <c r="AN58" s="148">
        <f t="shared" si="15"/>
        <v>22688071.109999999</v>
      </c>
      <c r="AO58" s="148">
        <f t="shared" si="15"/>
        <v>0</v>
      </c>
      <c r="AP58" s="148">
        <f t="shared" si="15"/>
        <v>0</v>
      </c>
      <c r="AQ58" s="159">
        <f t="shared" si="15"/>
        <v>49809442.5</v>
      </c>
      <c r="AR58" s="159">
        <f t="shared" si="15"/>
        <v>28983031.890000004</v>
      </c>
      <c r="AS58" s="159">
        <f t="shared" si="15"/>
        <v>0</v>
      </c>
      <c r="AT58" s="159">
        <f t="shared" si="15"/>
        <v>0</v>
      </c>
      <c r="AU58" s="146">
        <f>AQ58/AM58-1</f>
        <v>0.24918921138876549</v>
      </c>
      <c r="AV58" s="146" t="e">
        <f>AS58/AO58-1</f>
        <v>#DIV/0!</v>
      </c>
    </row>
    <row r="59" spans="1:51">
      <c r="A59" s="141"/>
      <c r="B59" s="142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32"/>
      <c r="AB59" s="132"/>
      <c r="AC59" s="132"/>
      <c r="AD59" s="132"/>
      <c r="AE59" s="126"/>
      <c r="AF59" s="126"/>
      <c r="AG59" s="126"/>
      <c r="AH59" s="126"/>
      <c r="AI59" s="126"/>
      <c r="AJ59" s="126"/>
      <c r="AK59" s="126"/>
      <c r="AL59" s="126"/>
      <c r="AM59" s="149"/>
      <c r="AN59" s="149"/>
      <c r="AO59" s="149"/>
      <c r="AP59" s="149"/>
      <c r="AQ59" s="160"/>
      <c r="AR59" s="160"/>
      <c r="AS59" s="160"/>
      <c r="AT59" s="160"/>
      <c r="AU59" s="147"/>
      <c r="AV59" s="147"/>
    </row>
    <row r="60" spans="1:51" ht="43.8" customHeight="1">
      <c r="A60" s="127" t="s">
        <v>10</v>
      </c>
      <c r="B60" s="128"/>
      <c r="C60" s="2"/>
      <c r="D60" s="2"/>
      <c r="E60" s="2">
        <v>10110055.9</v>
      </c>
      <c r="F60" s="2">
        <f>51442088.62-49312861.59</f>
        <v>2129227.0299999937</v>
      </c>
      <c r="G60" s="2">
        <v>10146692.35</v>
      </c>
      <c r="H60" s="2">
        <v>2129227.0299999998</v>
      </c>
      <c r="I60" s="2">
        <v>14616479.76</v>
      </c>
      <c r="J60" s="2">
        <v>2129227.0299999998</v>
      </c>
      <c r="K60" s="2">
        <v>7843217.96</v>
      </c>
      <c r="L60" s="2">
        <v>2129227.0299999998</v>
      </c>
      <c r="M60" s="2">
        <v>7533070</v>
      </c>
      <c r="N60" s="2">
        <v>2129227.0299999998</v>
      </c>
      <c r="O60" s="2">
        <v>6652443.1100000003</v>
      </c>
      <c r="P60" s="2">
        <v>2344248.65</v>
      </c>
      <c r="Q60" s="2">
        <f>8677372.77+42645.25</f>
        <v>8720018.0199999996</v>
      </c>
      <c r="R60" s="2">
        <f>2344248.65</f>
        <v>2344248.65</v>
      </c>
      <c r="S60" s="2">
        <f>69747.65+9218096.72</f>
        <v>9287844.370000001</v>
      </c>
      <c r="T60" s="2">
        <v>2271307.65</v>
      </c>
      <c r="U60" s="2">
        <f>94170.06+10964271.83</f>
        <v>11058441.890000001</v>
      </c>
      <c r="V60" s="2">
        <f>2046307.65</f>
        <v>2046307.65</v>
      </c>
      <c r="W60" s="2">
        <f>11194823.81+98358.34</f>
        <v>11293182.15</v>
      </c>
      <c r="X60" s="2">
        <f>2161998.65</f>
        <v>2161998.65</v>
      </c>
      <c r="Y60" s="2">
        <v>13594212.15</v>
      </c>
      <c r="Z60" s="2">
        <v>4751435.4800000004</v>
      </c>
      <c r="AA60" s="16">
        <f>77325.12+12375433.35</f>
        <v>12452758.469999999</v>
      </c>
      <c r="AB60" s="16">
        <v>1634678.03</v>
      </c>
      <c r="AC60" s="16">
        <f>263374.33+25371454.14</f>
        <v>25634828.469999999</v>
      </c>
      <c r="AD60" s="16">
        <v>7111498.0199999996</v>
      </c>
      <c r="AE60" s="16">
        <f>58898.5+5757823.28+84105.04+8232493.31</f>
        <v>14133320.129999999</v>
      </c>
      <c r="AF60" s="16">
        <f>58898.5+84105.04</f>
        <v>143003.53999999998</v>
      </c>
      <c r="AG60" s="16">
        <v>1077110.1399999999</v>
      </c>
      <c r="AH60" s="16"/>
      <c r="AI60" s="16">
        <f>6666650.33+5624949.78</f>
        <v>12291600.109999999</v>
      </c>
      <c r="AJ60" s="16">
        <f>35741.07+67278.18</f>
        <v>103019.25</v>
      </c>
      <c r="AK60" s="16"/>
      <c r="AL60" s="16"/>
      <c r="AM60" s="41">
        <f>37948.57+4413208.13+100915.2+4535014.6</f>
        <v>9087086.5</v>
      </c>
      <c r="AN60" s="41">
        <f>37948.57+100915.2</f>
        <v>138863.76999999999</v>
      </c>
      <c r="AO60" s="41"/>
      <c r="AP60" s="41"/>
      <c r="AQ60" s="55">
        <f>79053.95+3891743.84+271799.33+6986257.5</f>
        <v>11228854.620000001</v>
      </c>
      <c r="AR60" s="55">
        <f>79053.95+271799.33</f>
        <v>350853.28</v>
      </c>
      <c r="AS60" s="55"/>
      <c r="AT60" s="55"/>
      <c r="AU60" s="56"/>
      <c r="AV60" s="56"/>
      <c r="AY60" s="29"/>
    </row>
    <row r="61" spans="1:51">
      <c r="A61" s="127" t="s">
        <v>7</v>
      </c>
      <c r="B61" s="128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16">
        <f>774524.11+20097533.72</f>
        <v>20872057.829999998</v>
      </c>
      <c r="AB61" s="16"/>
      <c r="AC61" s="16">
        <f>815882.11+24539657.77</f>
        <v>25355539.879999999</v>
      </c>
      <c r="AD61" s="16"/>
      <c r="AE61" s="16">
        <f>6636427.13+2761581.99+10175763.76+5190667.21</f>
        <v>24764440.090000004</v>
      </c>
      <c r="AF61" s="16">
        <f>6636427.13+10175763.76</f>
        <v>16812190.890000001</v>
      </c>
      <c r="AG61" s="16"/>
      <c r="AH61" s="16"/>
      <c r="AI61" s="16">
        <f>7952572.92+13599050.19</f>
        <v>21551623.109999999</v>
      </c>
      <c r="AJ61" s="16">
        <f>6844713.26+9282998.62</f>
        <v>16127711.879999999</v>
      </c>
      <c r="AK61" s="16"/>
      <c r="AL61" s="16"/>
      <c r="AM61" s="41">
        <f>5886637.22+1343938.79+9504699.42+3891041.08</f>
        <v>20626316.509999998</v>
      </c>
      <c r="AN61" s="41">
        <f>5886637.22+9504699.42</f>
        <v>15391336.640000001</v>
      </c>
      <c r="AO61" s="41"/>
      <c r="AP61" s="41"/>
      <c r="AQ61" s="55">
        <f>6213227.11+1965521.92+11008395.58+4117451.65</f>
        <v>23304596.259999998</v>
      </c>
      <c r="AR61" s="55">
        <f>6213227.11+11008395.58</f>
        <v>17221622.690000001</v>
      </c>
      <c r="AS61" s="55"/>
      <c r="AT61" s="55"/>
      <c r="AU61" s="56"/>
      <c r="AV61" s="56"/>
    </row>
    <row r="62" spans="1:51" ht="43.8" customHeight="1">
      <c r="A62" s="127" t="s">
        <v>8</v>
      </c>
      <c r="B62" s="128"/>
      <c r="C62" s="2"/>
      <c r="D62" s="2"/>
      <c r="E62" s="2">
        <v>4317281.3899999997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>
        <v>3356790.95</v>
      </c>
      <c r="Z62" s="2"/>
      <c r="AA62" s="16">
        <f>511757.59+6814505.62</f>
        <v>7326263.21</v>
      </c>
      <c r="AB62" s="16"/>
      <c r="AC62" s="16">
        <f>484038.54+11956133.92</f>
        <v>12440172.459999999</v>
      </c>
      <c r="AD62" s="16">
        <v>10626588</v>
      </c>
      <c r="AE62" s="16">
        <f>4846101.83+2549979.72+3834472.6+2522828.53</f>
        <v>13753382.68</v>
      </c>
      <c r="AF62" s="16">
        <f>4846101.83+3834472.6</f>
        <v>8680574.4299999997</v>
      </c>
      <c r="AG62" s="16"/>
      <c r="AH62" s="16"/>
      <c r="AI62" s="16">
        <f>7445909.28+7217099.4</f>
        <v>14663008.68</v>
      </c>
      <c r="AJ62" s="16">
        <f>4719696.68+4376171.99</f>
        <v>9095868.6699999999</v>
      </c>
      <c r="AK62" s="16"/>
      <c r="AL62" s="16"/>
      <c r="AM62" s="41">
        <f>3432978.14+381958.57+3074157.21+2597939.85</f>
        <v>9487033.7699999996</v>
      </c>
      <c r="AN62" s="41">
        <f>3432978.14+3074157.21</f>
        <v>6507135.3499999996</v>
      </c>
      <c r="AO62" s="41"/>
      <c r="AP62" s="41"/>
      <c r="AQ62" s="55">
        <f>4073542.99+1208421.16+6796655.51+2657014.54</f>
        <v>14735634.199999999</v>
      </c>
      <c r="AR62" s="55">
        <f>4073542.99+6796655.51</f>
        <v>10870198.5</v>
      </c>
      <c r="AS62" s="55"/>
      <c r="AT62" s="55"/>
      <c r="AU62" s="56"/>
      <c r="AV62" s="56"/>
    </row>
    <row r="63" spans="1:51">
      <c r="A63" s="127" t="s">
        <v>9</v>
      </c>
      <c r="B63" s="128"/>
      <c r="C63" s="2"/>
      <c r="D63" s="2"/>
      <c r="E63" s="2">
        <v>50229554.060000002</v>
      </c>
      <c r="F63" s="2">
        <v>49311505.640000001</v>
      </c>
      <c r="G63" s="2">
        <f>54914409.14+4146331.65</f>
        <v>59060740.789999999</v>
      </c>
      <c r="H63" s="2">
        <f>4092516+44233103.62</f>
        <v>48325619.619999997</v>
      </c>
      <c r="I63" s="2">
        <f>4125519+52000853.47</f>
        <v>56126372.469999999</v>
      </c>
      <c r="J63" s="2">
        <f>4092516+48802373.86</f>
        <v>52894889.859999999</v>
      </c>
      <c r="K63" s="2">
        <f>4106722+58655126.14</f>
        <v>62761848.140000001</v>
      </c>
      <c r="L63" s="2">
        <f>4092516+51722209.7</f>
        <v>55814725.700000003</v>
      </c>
      <c r="M63" s="2">
        <f>3726327.65+62112387.9</f>
        <v>65838715.549999997</v>
      </c>
      <c r="N63" s="2">
        <f>51679075.14+3711331.65</f>
        <v>55390406.789999999</v>
      </c>
      <c r="O63" s="2">
        <f>3292052+59912517.14</f>
        <v>63204569.140000001</v>
      </c>
      <c r="P63" s="2">
        <f>3292052+59912517.14</f>
        <v>63204569.140000001</v>
      </c>
      <c r="Q63" s="2">
        <f>59493077.9+3296661.65</f>
        <v>62789739.549999997</v>
      </c>
      <c r="R63" s="2">
        <f>3296661.65+52221949.14</f>
        <v>55518610.789999999</v>
      </c>
      <c r="S63" s="2">
        <f>58887656.94+3311445.65</f>
        <v>62199102.589999996</v>
      </c>
      <c r="T63" s="2">
        <f>3296661.65+52221949.14</f>
        <v>55518610.789999999</v>
      </c>
      <c r="U63" s="2">
        <f>56222191.94+3311445.65</f>
        <v>59533637.589999996</v>
      </c>
      <c r="V63" s="2">
        <f>3311445.65+56222191.94</f>
        <v>59533637.589999996</v>
      </c>
      <c r="W63" s="2">
        <f>1281078.35+54292200.96</f>
        <v>55573279.310000002</v>
      </c>
      <c r="X63" s="2">
        <f>54292200.96+1281078.35</f>
        <v>55573279.310000002</v>
      </c>
      <c r="Y63" s="2">
        <v>55305512.479999997</v>
      </c>
      <c r="Z63" s="2">
        <v>55305512.479999997</v>
      </c>
      <c r="AA63" s="16">
        <v>12430432.640000001</v>
      </c>
      <c r="AB63" s="16">
        <v>12430432.640000001</v>
      </c>
      <c r="AC63" s="16">
        <v>19001954.52</v>
      </c>
      <c r="AD63" s="16">
        <v>19001954.52</v>
      </c>
      <c r="AE63" s="16">
        <f>2101880.84+3050643.64</f>
        <v>5152524.4800000004</v>
      </c>
      <c r="AF63" s="16"/>
      <c r="AG63" s="16">
        <f>2101856.09+3050642.64</f>
        <v>5152498.7300000004</v>
      </c>
      <c r="AH63" s="16"/>
      <c r="AI63" s="16">
        <f>197520+183600</f>
        <v>381120</v>
      </c>
      <c r="AJ63" s="16"/>
      <c r="AK63" s="16">
        <f>197520+183600</f>
        <v>381120</v>
      </c>
      <c r="AL63" s="16"/>
      <c r="AM63" s="41">
        <v>22245</v>
      </c>
      <c r="AN63" s="41"/>
      <c r="AO63" s="41"/>
      <c r="AP63" s="41"/>
      <c r="AQ63" s="55"/>
      <c r="AR63" s="55"/>
      <c r="AS63" s="55"/>
      <c r="AT63" s="55"/>
      <c r="AU63" s="56" t="s">
        <v>39</v>
      </c>
      <c r="AV63" s="56"/>
    </row>
    <row r="64" spans="1:51">
      <c r="A64" s="127" t="s">
        <v>14</v>
      </c>
      <c r="B64" s="128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>
        <v>30781549.66</v>
      </c>
      <c r="Z64" s="2">
        <v>30779212.829999998</v>
      </c>
      <c r="AA64" s="16">
        <f>3305399.51+525.46</f>
        <v>3305924.9699999997</v>
      </c>
      <c r="AB64" s="16">
        <v>1468652.52</v>
      </c>
      <c r="AC64" s="16">
        <f>37418429.35+92913.85</f>
        <v>37511343.200000003</v>
      </c>
      <c r="AD64" s="16">
        <v>35708297.810000002</v>
      </c>
      <c r="AE64" s="16">
        <f>5363159.41+45867.6+4665</f>
        <v>5413692.0099999998</v>
      </c>
      <c r="AF64" s="16">
        <f>45867.6+2181170.99</f>
        <v>2227038.5900000003</v>
      </c>
      <c r="AG64" s="16">
        <v>3181988.42</v>
      </c>
      <c r="AH64" s="16"/>
      <c r="AI64" s="16">
        <v>898662.76</v>
      </c>
      <c r="AJ64" s="16">
        <v>847221.52</v>
      </c>
      <c r="AK64" s="16"/>
      <c r="AL64" s="16"/>
      <c r="AM64" s="41">
        <v>650735.35</v>
      </c>
      <c r="AN64" s="41">
        <v>650735.35</v>
      </c>
      <c r="AO64" s="41"/>
      <c r="AP64" s="41"/>
      <c r="AQ64" s="55">
        <v>540357.42000000004</v>
      </c>
      <c r="AR64" s="55">
        <v>540357.42000000004</v>
      </c>
      <c r="AS64" s="55"/>
      <c r="AT64" s="55"/>
      <c r="AU64" s="56"/>
      <c r="AV64" s="56"/>
    </row>
    <row r="65" spans="1:48">
      <c r="A65" s="139" t="s">
        <v>3</v>
      </c>
      <c r="B65" s="140"/>
      <c r="C65" s="138">
        <v>-7680.14</v>
      </c>
      <c r="D65" s="138">
        <f>SUM(D67:D71)</f>
        <v>0</v>
      </c>
      <c r="E65" s="138">
        <f t="shared" ref="E65:AD65" si="16">SUM(E67:E71)</f>
        <v>0</v>
      </c>
      <c r="F65" s="138">
        <f t="shared" si="16"/>
        <v>0</v>
      </c>
      <c r="G65" s="138">
        <f t="shared" si="16"/>
        <v>114426.95</v>
      </c>
      <c r="H65" s="138">
        <f t="shared" si="16"/>
        <v>0</v>
      </c>
      <c r="I65" s="138">
        <f t="shared" si="16"/>
        <v>88290.77</v>
      </c>
      <c r="J65" s="138">
        <f t="shared" si="16"/>
        <v>0</v>
      </c>
      <c r="K65" s="138">
        <f t="shared" si="16"/>
        <v>51440.42</v>
      </c>
      <c r="L65" s="138">
        <f t="shared" si="16"/>
        <v>0</v>
      </c>
      <c r="M65" s="138">
        <f t="shared" si="16"/>
        <v>169857.58</v>
      </c>
      <c r="N65" s="138">
        <f t="shared" si="16"/>
        <v>0</v>
      </c>
      <c r="O65" s="138">
        <f t="shared" si="16"/>
        <v>77731.77</v>
      </c>
      <c r="P65" s="138">
        <f t="shared" si="16"/>
        <v>0</v>
      </c>
      <c r="Q65" s="138">
        <f t="shared" si="16"/>
        <v>55035.07</v>
      </c>
      <c r="R65" s="138">
        <f t="shared" si="16"/>
        <v>0</v>
      </c>
      <c r="S65" s="138">
        <f t="shared" si="16"/>
        <v>80513.679999999993</v>
      </c>
      <c r="T65" s="138">
        <f t="shared" si="16"/>
        <v>0</v>
      </c>
      <c r="U65" s="138">
        <f t="shared" si="16"/>
        <v>77945.259999999995</v>
      </c>
      <c r="V65" s="138">
        <f t="shared" si="16"/>
        <v>0</v>
      </c>
      <c r="W65" s="138">
        <f t="shared" si="16"/>
        <v>84064.9</v>
      </c>
      <c r="X65" s="138">
        <f t="shared" si="16"/>
        <v>0</v>
      </c>
      <c r="Y65" s="138">
        <f t="shared" si="16"/>
        <v>0</v>
      </c>
      <c r="Z65" s="138">
        <f t="shared" si="16"/>
        <v>0</v>
      </c>
      <c r="AA65" s="145">
        <f t="shared" si="16"/>
        <v>663721.94999999995</v>
      </c>
      <c r="AB65" s="145">
        <f t="shared" si="16"/>
        <v>0</v>
      </c>
      <c r="AC65" s="145">
        <f t="shared" si="16"/>
        <v>856387.40999999992</v>
      </c>
      <c r="AD65" s="145">
        <f t="shared" si="16"/>
        <v>0</v>
      </c>
      <c r="AE65" s="125">
        <f t="shared" ref="AE65:AT65" si="17">AE67+AE68+AE69+AE70+AE71</f>
        <v>1745805.9500000002</v>
      </c>
      <c r="AF65" s="125">
        <f t="shared" si="17"/>
        <v>0</v>
      </c>
      <c r="AG65" s="125">
        <v>0</v>
      </c>
      <c r="AH65" s="125">
        <f t="shared" si="17"/>
        <v>0</v>
      </c>
      <c r="AI65" s="125">
        <f t="shared" si="17"/>
        <v>732891.89999999991</v>
      </c>
      <c r="AJ65" s="125">
        <f t="shared" si="17"/>
        <v>0</v>
      </c>
      <c r="AK65" s="125">
        <f t="shared" si="17"/>
        <v>0</v>
      </c>
      <c r="AL65" s="125">
        <f t="shared" si="17"/>
        <v>0</v>
      </c>
      <c r="AM65" s="125">
        <f t="shared" si="17"/>
        <v>20734.93</v>
      </c>
      <c r="AN65" s="125">
        <f t="shared" si="17"/>
        <v>0</v>
      </c>
      <c r="AO65" s="125">
        <f t="shared" si="17"/>
        <v>0</v>
      </c>
      <c r="AP65" s="125">
        <f t="shared" si="17"/>
        <v>0</v>
      </c>
      <c r="AQ65" s="150">
        <f t="shared" si="17"/>
        <v>272212.93999999994</v>
      </c>
      <c r="AR65" s="150">
        <f t="shared" si="17"/>
        <v>0</v>
      </c>
      <c r="AS65" s="150">
        <f t="shared" si="17"/>
        <v>0</v>
      </c>
      <c r="AT65" s="150">
        <f t="shared" si="17"/>
        <v>0</v>
      </c>
      <c r="AU65" s="143">
        <f>AQ65/AM65-1</f>
        <v>12.128230478713935</v>
      </c>
      <c r="AV65" s="143" t="e">
        <f>AS65/AO65-1</f>
        <v>#DIV/0!</v>
      </c>
    </row>
    <row r="66" spans="1:48">
      <c r="A66" s="141"/>
      <c r="B66" s="142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32"/>
      <c r="AB66" s="132"/>
      <c r="AC66" s="132"/>
      <c r="AD66" s="132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51"/>
      <c r="AR66" s="151"/>
      <c r="AS66" s="151"/>
      <c r="AT66" s="151"/>
      <c r="AU66" s="144"/>
      <c r="AV66" s="144"/>
    </row>
    <row r="67" spans="1:48" ht="46.8" customHeight="1">
      <c r="A67" s="127" t="s">
        <v>10</v>
      </c>
      <c r="B67" s="128"/>
      <c r="C67" s="2">
        <v>0</v>
      </c>
      <c r="D67" s="2"/>
      <c r="E67" s="2">
        <v>0</v>
      </c>
      <c r="F67" s="2"/>
      <c r="G67" s="2">
        <v>114426.95</v>
      </c>
      <c r="H67" s="2"/>
      <c r="I67" s="2">
        <v>88290.77</v>
      </c>
      <c r="J67" s="2"/>
      <c r="K67" s="2">
        <v>51440.42</v>
      </c>
      <c r="L67" s="2"/>
      <c r="M67" s="2">
        <v>169857.58</v>
      </c>
      <c r="N67" s="2"/>
      <c r="O67" s="2">
        <v>77731.77</v>
      </c>
      <c r="P67" s="2"/>
      <c r="Q67" s="2">
        <v>55035.07</v>
      </c>
      <c r="R67" s="2"/>
      <c r="S67" s="2">
        <v>80513.679999999993</v>
      </c>
      <c r="T67" s="2"/>
      <c r="U67" s="2">
        <v>77945.259999999995</v>
      </c>
      <c r="V67" s="2"/>
      <c r="W67" s="2">
        <v>84064.9</v>
      </c>
      <c r="X67" s="2"/>
      <c r="Y67" s="2"/>
      <c r="Z67" s="2"/>
      <c r="AA67" s="16">
        <v>4839.6099999999997</v>
      </c>
      <c r="AB67" s="16"/>
      <c r="AC67" s="16">
        <v>85242.16</v>
      </c>
      <c r="AD67" s="13"/>
      <c r="AE67" s="16">
        <f>72200.43+5275.44</f>
        <v>77475.87</v>
      </c>
      <c r="AF67" s="16"/>
      <c r="AG67" s="16"/>
      <c r="AH67" s="16"/>
      <c r="AI67" s="16">
        <f>8639.4+10796.51</f>
        <v>19435.91</v>
      </c>
      <c r="AJ67" s="16"/>
      <c r="AK67" s="16"/>
      <c r="AL67" s="16"/>
      <c r="AM67" s="16">
        <f>13609.88+7125.05</f>
        <v>20734.93</v>
      </c>
      <c r="AN67" s="16"/>
      <c r="AO67" s="16"/>
      <c r="AP67" s="16"/>
      <c r="AQ67" s="23">
        <f>199058.33+6486.61</f>
        <v>205544.93999999997</v>
      </c>
      <c r="AR67" s="23"/>
      <c r="AS67" s="23"/>
      <c r="AT67" s="23"/>
      <c r="AU67" s="17"/>
      <c r="AV67" s="17"/>
    </row>
    <row r="68" spans="1:48">
      <c r="A68" s="127" t="s">
        <v>7</v>
      </c>
      <c r="B68" s="128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16">
        <v>446550.73</v>
      </c>
      <c r="AB68" s="16"/>
      <c r="AC68" s="16">
        <v>451706.16</v>
      </c>
      <c r="AD68" s="13"/>
      <c r="AE68" s="16">
        <f>696234.36+399212.22</f>
        <v>1095446.58</v>
      </c>
      <c r="AF68" s="16"/>
      <c r="AG68" s="16"/>
      <c r="AH68" s="16"/>
      <c r="AI68" s="16">
        <v>484362.5</v>
      </c>
      <c r="AJ68" s="16"/>
      <c r="AK68" s="16"/>
      <c r="AL68" s="16"/>
      <c r="AM68" s="16"/>
      <c r="AN68" s="16"/>
      <c r="AO68" s="16"/>
      <c r="AP68" s="16"/>
      <c r="AQ68" s="23"/>
      <c r="AR68" s="23"/>
      <c r="AS68" s="23"/>
      <c r="AT68" s="23"/>
      <c r="AU68" s="17"/>
      <c r="AV68" s="17"/>
    </row>
    <row r="69" spans="1:48" ht="42" customHeight="1">
      <c r="A69" s="127" t="s">
        <v>8</v>
      </c>
      <c r="B69" s="128"/>
      <c r="C69" s="2">
        <v>0</v>
      </c>
      <c r="D69" s="2"/>
      <c r="E69" s="2">
        <v>0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16"/>
      <c r="AB69" s="23"/>
      <c r="AC69" s="16">
        <v>319439.09000000003</v>
      </c>
      <c r="AD69" s="13"/>
      <c r="AE69" s="16">
        <f>340695.57+232187.93</f>
        <v>572883.5</v>
      </c>
      <c r="AF69" s="16"/>
      <c r="AG69" s="16"/>
      <c r="AH69" s="16"/>
      <c r="AI69" s="16">
        <v>229093.49</v>
      </c>
      <c r="AJ69" s="16"/>
      <c r="AK69" s="16"/>
      <c r="AL69" s="16"/>
      <c r="AM69" s="16"/>
      <c r="AN69" s="16"/>
      <c r="AO69" s="16"/>
      <c r="AP69" s="16"/>
      <c r="AQ69" s="23"/>
      <c r="AR69" s="23"/>
      <c r="AS69" s="23"/>
      <c r="AT69" s="23"/>
      <c r="AU69" s="17"/>
      <c r="AV69" s="17"/>
    </row>
    <row r="70" spans="1:48">
      <c r="A70" s="127" t="s">
        <v>9</v>
      </c>
      <c r="B70" s="128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16">
        <v>212331.61</v>
      </c>
      <c r="AB70" s="16"/>
      <c r="AC70" s="16"/>
      <c r="AD70" s="13"/>
      <c r="AE70" s="16"/>
      <c r="AF70" s="16"/>
      <c r="AG70" s="16"/>
      <c r="AH70" s="16"/>
      <c r="AI70" s="16"/>
      <c r="AJ70" s="16"/>
      <c r="AK70" s="16"/>
      <c r="AL70" s="16"/>
      <c r="AM70" s="13"/>
      <c r="AN70" s="13"/>
      <c r="AO70" s="13"/>
      <c r="AP70" s="13"/>
      <c r="AQ70" s="23"/>
      <c r="AR70" s="23"/>
      <c r="AS70" s="23"/>
      <c r="AT70" s="23"/>
      <c r="AU70" s="17"/>
      <c r="AV70" s="17"/>
    </row>
    <row r="71" spans="1:48">
      <c r="A71" s="127" t="s">
        <v>14</v>
      </c>
      <c r="B71" s="128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13"/>
      <c r="AB71" s="13"/>
      <c r="AC71" s="13"/>
      <c r="AD71" s="13"/>
      <c r="AE71" s="16"/>
      <c r="AF71" s="16"/>
      <c r="AG71" s="16"/>
      <c r="AH71" s="16"/>
      <c r="AI71" s="13"/>
      <c r="AJ71" s="13"/>
      <c r="AK71" s="13"/>
      <c r="AL71" s="13"/>
      <c r="AM71" s="13"/>
      <c r="AN71" s="13"/>
      <c r="AO71" s="13"/>
      <c r="AP71" s="13"/>
      <c r="AQ71" s="23">
        <v>66668</v>
      </c>
      <c r="AR71" s="23"/>
      <c r="AS71" s="23"/>
      <c r="AT71" s="23"/>
      <c r="AU71" s="17"/>
      <c r="AV71" s="17"/>
    </row>
    <row r="72" spans="1:48">
      <c r="A72" s="139" t="s">
        <v>16</v>
      </c>
      <c r="B72" s="140"/>
      <c r="C72" s="138">
        <v>24738.76</v>
      </c>
      <c r="D72" s="138">
        <f t="shared" ref="D72:Z72" si="18">SUM(D74:D78)</f>
        <v>0</v>
      </c>
      <c r="E72" s="138">
        <f t="shared" si="18"/>
        <v>162585.41</v>
      </c>
      <c r="F72" s="138">
        <f t="shared" si="18"/>
        <v>0</v>
      </c>
      <c r="G72" s="138">
        <f t="shared" si="18"/>
        <v>2836261.8599999994</v>
      </c>
      <c r="H72" s="138">
        <f t="shared" si="18"/>
        <v>179639.45</v>
      </c>
      <c r="I72" s="138">
        <f t="shared" si="18"/>
        <v>2968161.5</v>
      </c>
      <c r="J72" s="138">
        <f t="shared" si="18"/>
        <v>179639.45</v>
      </c>
      <c r="K72" s="138">
        <f t="shared" si="18"/>
        <v>3579888.6599999997</v>
      </c>
      <c r="L72" s="138">
        <f t="shared" si="18"/>
        <v>179639.45</v>
      </c>
      <c r="M72" s="138">
        <f t="shared" si="18"/>
        <v>2288254.44</v>
      </c>
      <c r="N72" s="138">
        <f t="shared" si="18"/>
        <v>179639.45</v>
      </c>
      <c r="O72" s="138">
        <f t="shared" si="18"/>
        <v>2699902.61</v>
      </c>
      <c r="P72" s="138">
        <f t="shared" si="18"/>
        <v>179639.45</v>
      </c>
      <c r="Q72" s="138">
        <f t="shared" si="18"/>
        <v>2782603.59</v>
      </c>
      <c r="R72" s="138">
        <f t="shared" si="18"/>
        <v>179639.45</v>
      </c>
      <c r="S72" s="138">
        <f t="shared" si="18"/>
        <v>2615855.7999999998</v>
      </c>
      <c r="T72" s="138">
        <f t="shared" si="18"/>
        <v>179639.45</v>
      </c>
      <c r="U72" s="138">
        <f t="shared" si="18"/>
        <v>2483055.5499999998</v>
      </c>
      <c r="V72" s="138">
        <f t="shared" si="18"/>
        <v>142806.04</v>
      </c>
      <c r="W72" s="138">
        <f t="shared" si="18"/>
        <v>2680559.16</v>
      </c>
      <c r="X72" s="138">
        <f t="shared" si="18"/>
        <v>142806.04</v>
      </c>
      <c r="Y72" s="138">
        <f t="shared" si="18"/>
        <v>79878.12999999999</v>
      </c>
      <c r="Z72" s="138">
        <f t="shared" si="18"/>
        <v>0</v>
      </c>
      <c r="AA72" s="145">
        <f>SUM(AA74:AA78)</f>
        <v>2592606.9299999997</v>
      </c>
      <c r="AB72" s="145">
        <f>SUM(AB74:AB78)</f>
        <v>0</v>
      </c>
      <c r="AC72" s="145">
        <f>SUM(AC74:AC78)</f>
        <v>4410926.9800000004</v>
      </c>
      <c r="AD72" s="145">
        <f>SUM(AD74:AD78)</f>
        <v>1508980.59</v>
      </c>
      <c r="AE72" s="125">
        <f t="shared" ref="AE72:AF72" si="19">AE74+AE75+AE76+AE77+AE78</f>
        <v>4401686.4800000004</v>
      </c>
      <c r="AF72" s="125">
        <f t="shared" si="19"/>
        <v>4300435.1999999993</v>
      </c>
      <c r="AG72" s="125">
        <v>0</v>
      </c>
      <c r="AH72" s="125">
        <v>0</v>
      </c>
      <c r="AI72" s="125">
        <f t="shared" ref="AI72:AT72" si="20">AI74+AI75+AI76+AI77+AI78</f>
        <v>5541568.0600000005</v>
      </c>
      <c r="AJ72" s="125">
        <f t="shared" si="20"/>
        <v>0</v>
      </c>
      <c r="AK72" s="125">
        <f>AK74+AK75+AK76+AK77+AK78</f>
        <v>0</v>
      </c>
      <c r="AL72" s="125">
        <f t="shared" si="20"/>
        <v>0</v>
      </c>
      <c r="AM72" s="150">
        <f t="shared" si="20"/>
        <v>4905226.87</v>
      </c>
      <c r="AN72" s="150">
        <f t="shared" si="20"/>
        <v>4859923.91</v>
      </c>
      <c r="AO72" s="150">
        <f t="shared" si="20"/>
        <v>0</v>
      </c>
      <c r="AP72" s="150">
        <f t="shared" si="20"/>
        <v>0</v>
      </c>
      <c r="AQ72" s="150">
        <f t="shared" si="20"/>
        <v>5648835.71</v>
      </c>
      <c r="AR72" s="150">
        <f t="shared" si="20"/>
        <v>5617279.71</v>
      </c>
      <c r="AS72" s="150">
        <f t="shared" si="20"/>
        <v>0</v>
      </c>
      <c r="AT72" s="150">
        <f t="shared" si="20"/>
        <v>0</v>
      </c>
      <c r="AU72" s="143">
        <f>AQ72/AM72-1</f>
        <v>0.15159519828692436</v>
      </c>
      <c r="AV72" s="143" t="e">
        <f>AS72/AO72-1</f>
        <v>#DIV/0!</v>
      </c>
    </row>
    <row r="73" spans="1:48">
      <c r="A73" s="141"/>
      <c r="B73" s="142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32"/>
      <c r="AB73" s="132"/>
      <c r="AC73" s="132"/>
      <c r="AD73" s="132"/>
      <c r="AE73" s="126"/>
      <c r="AF73" s="126"/>
      <c r="AG73" s="126"/>
      <c r="AH73" s="126"/>
      <c r="AI73" s="126"/>
      <c r="AJ73" s="126"/>
      <c r="AK73" s="126"/>
      <c r="AL73" s="126"/>
      <c r="AM73" s="151"/>
      <c r="AN73" s="151"/>
      <c r="AO73" s="151"/>
      <c r="AP73" s="151"/>
      <c r="AQ73" s="151"/>
      <c r="AR73" s="151"/>
      <c r="AS73" s="151"/>
      <c r="AT73" s="151"/>
      <c r="AU73" s="144"/>
      <c r="AV73" s="144"/>
    </row>
    <row r="74" spans="1:48" ht="45" customHeight="1">
      <c r="A74" s="127" t="s">
        <v>10</v>
      </c>
      <c r="B74" s="128"/>
      <c r="C74" s="2"/>
      <c r="D74" s="2"/>
      <c r="E74" s="2">
        <v>162585.41</v>
      </c>
      <c r="F74" s="2"/>
      <c r="G74" s="2">
        <f>410855.69+138863.03</f>
        <v>549718.72</v>
      </c>
      <c r="H74" s="2">
        <v>179639.45</v>
      </c>
      <c r="I74" s="2">
        <f>349786.74+482870.23</f>
        <v>832656.97</v>
      </c>
      <c r="J74" s="2">
        <v>179639.45</v>
      </c>
      <c r="K74" s="2">
        <f>325550.4+256894.84</f>
        <v>582445.24</v>
      </c>
      <c r="L74" s="2">
        <v>179639.45</v>
      </c>
      <c r="M74" s="2">
        <f>32098.35+367708.31</f>
        <v>399806.66</v>
      </c>
      <c r="N74" s="2">
        <v>179639.45</v>
      </c>
      <c r="O74" s="2">
        <f>19053.66+339996.73</f>
        <v>359050.38999999996</v>
      </c>
      <c r="P74" s="2">
        <v>179639.45</v>
      </c>
      <c r="Q74" s="2">
        <f>214101.64+184501.39</f>
        <v>398603.03</v>
      </c>
      <c r="R74" s="2">
        <v>179639.45</v>
      </c>
      <c r="S74" s="2">
        <f>293392.92+82646.26</f>
        <v>376039.18</v>
      </c>
      <c r="T74" s="2">
        <v>179639.45</v>
      </c>
      <c r="U74" s="2">
        <f>18347.3+293392.92</f>
        <v>311740.21999999997</v>
      </c>
      <c r="V74" s="2">
        <f>142806.04</f>
        <v>142806.04</v>
      </c>
      <c r="W74" s="2">
        <f>175124.05+248350.04</f>
        <v>423474.08999999997</v>
      </c>
      <c r="X74" s="2">
        <v>142806.04</v>
      </c>
      <c r="Y74" s="2">
        <v>99147.76</v>
      </c>
      <c r="Z74" s="2"/>
      <c r="AA74" s="16">
        <f>23731.53+27555.65</f>
        <v>51287.18</v>
      </c>
      <c r="AB74" s="16"/>
      <c r="AC74" s="16">
        <f>36698.81+43106.43</f>
        <v>79805.239999999991</v>
      </c>
      <c r="AD74" s="16"/>
      <c r="AE74" s="16">
        <f>54159.74+22819.27+80774.94</f>
        <v>157753.95000000001</v>
      </c>
      <c r="AF74" s="28">
        <f>54159.74+22819.27</f>
        <v>76979.009999999995</v>
      </c>
      <c r="AG74" s="16"/>
      <c r="AH74" s="16"/>
      <c r="AI74" s="16">
        <f>43925.96+153933.91+15985</f>
        <v>213844.87</v>
      </c>
      <c r="AJ74" s="16"/>
      <c r="AK74" s="16"/>
      <c r="AL74" s="16"/>
      <c r="AM74" s="23">
        <f>68648.13+19758.87+16981.5</f>
        <v>105388.5</v>
      </c>
      <c r="AN74" s="23">
        <f>68648.13+19758.87</f>
        <v>88407</v>
      </c>
      <c r="AO74" s="23">
        <v>0</v>
      </c>
      <c r="AP74" s="23"/>
      <c r="AQ74" s="23">
        <f>24156.79+273643.74+20787.06</f>
        <v>318587.58999999997</v>
      </c>
      <c r="AR74" s="23">
        <f>24156.79+273643.74</f>
        <v>297800.52999999997</v>
      </c>
      <c r="AS74" s="23"/>
      <c r="AT74" s="23"/>
      <c r="AU74" s="17"/>
      <c r="AV74" s="17"/>
    </row>
    <row r="75" spans="1:48">
      <c r="A75" s="127" t="s">
        <v>7</v>
      </c>
      <c r="B75" s="128"/>
      <c r="C75" s="2"/>
      <c r="D75" s="2"/>
      <c r="E75" s="2"/>
      <c r="F75" s="2"/>
      <c r="G75" s="2">
        <f>1280106.96+331142.71</f>
        <v>1611249.67</v>
      </c>
      <c r="H75" s="2"/>
      <c r="I75" s="2">
        <f>1112706.33+292125.54</f>
        <v>1404831.87</v>
      </c>
      <c r="J75" s="2"/>
      <c r="K75" s="2">
        <f>1664826.89+424726.47</f>
        <v>2089553.3599999999</v>
      </c>
      <c r="L75" s="2"/>
      <c r="M75" s="2">
        <v>1291836.76</v>
      </c>
      <c r="N75" s="2"/>
      <c r="O75" s="2">
        <f>336869.12+1006180.12</f>
        <v>1343049.24</v>
      </c>
      <c r="P75" s="2"/>
      <c r="Q75" s="2">
        <f>290310.2+1054801</f>
        <v>1345111.2</v>
      </c>
      <c r="R75" s="2"/>
      <c r="S75" s="2">
        <f>210412.6+1031728.18</f>
        <v>1242140.78</v>
      </c>
      <c r="T75" s="2"/>
      <c r="U75" s="2">
        <f>144677.62+1051908.03</f>
        <v>1196585.6499999999</v>
      </c>
      <c r="V75" s="2"/>
      <c r="W75" s="2">
        <f>257630.31+1025805.39</f>
        <v>1283435.7</v>
      </c>
      <c r="X75" s="2"/>
      <c r="Y75" s="2"/>
      <c r="Z75" s="2"/>
      <c r="AA75" s="16">
        <f>367554.1+1092399.95</f>
        <v>1459954.0499999998</v>
      </c>
      <c r="AB75" s="16"/>
      <c r="AC75" s="16">
        <f>413160.07+976030.95</f>
        <v>1389191.02</v>
      </c>
      <c r="AD75" s="16"/>
      <c r="AE75" s="16">
        <f>399497.7+11131.38+1854102.36</f>
        <v>2264731.44</v>
      </c>
      <c r="AF75" s="16">
        <f>399497.7+1854102.36</f>
        <v>2253600.06</v>
      </c>
      <c r="AG75" s="16"/>
      <c r="AH75" s="16"/>
      <c r="AI75" s="16">
        <f>399597.7+2840800+11081.38</f>
        <v>3251479.08</v>
      </c>
      <c r="AJ75" s="16"/>
      <c r="AK75" s="16"/>
      <c r="AL75" s="16"/>
      <c r="AM75" s="23">
        <f>399497.7+17529.95+2611285.51</f>
        <v>3028313.1599999997</v>
      </c>
      <c r="AN75" s="23">
        <f>399497.7+2611285.51</f>
        <v>3010783.21</v>
      </c>
      <c r="AO75" s="23"/>
      <c r="AP75" s="23"/>
      <c r="AQ75" s="23">
        <f>330640.18+5208.52+2872762.86</f>
        <v>3208611.56</v>
      </c>
      <c r="AR75" s="23">
        <f>330640.18+2872762.86</f>
        <v>3203403.04</v>
      </c>
      <c r="AS75" s="23"/>
      <c r="AT75" s="23"/>
      <c r="AU75" s="17"/>
      <c r="AV75" s="17"/>
    </row>
    <row r="76" spans="1:48" ht="45" customHeight="1">
      <c r="A76" s="127" t="s">
        <v>8</v>
      </c>
      <c r="B76" s="128"/>
      <c r="C76" s="2"/>
      <c r="D76" s="2"/>
      <c r="E76" s="2"/>
      <c r="F76" s="2"/>
      <c r="G76" s="2">
        <f>191330.96+483962.51</f>
        <v>675293.47</v>
      </c>
      <c r="H76" s="2"/>
      <c r="I76" s="2">
        <f>171605.74+559066.92</f>
        <v>730672.66</v>
      </c>
      <c r="J76" s="2"/>
      <c r="K76" s="2">
        <f>209944.24+697945.82</f>
        <v>907890.05999999994</v>
      </c>
      <c r="L76" s="2"/>
      <c r="M76" s="2">
        <v>596611.02</v>
      </c>
      <c r="N76" s="2"/>
      <c r="O76" s="2">
        <f>198862.88+580042.1</f>
        <v>778904.98</v>
      </c>
      <c r="P76" s="2"/>
      <c r="Q76" s="2">
        <f>612669.18+219338.18</f>
        <v>832007.3600000001</v>
      </c>
      <c r="R76" s="2"/>
      <c r="S76" s="2">
        <f>201317.46+630998.38</f>
        <v>832315.84</v>
      </c>
      <c r="T76" s="2"/>
      <c r="U76" s="2">
        <f>184341.93+601701.1</f>
        <v>786043.03</v>
      </c>
      <c r="V76" s="2"/>
      <c r="W76" s="2">
        <f>177715.19+604861.18</f>
        <v>782576.37000000011</v>
      </c>
      <c r="X76" s="2"/>
      <c r="Y76" s="2">
        <v>-9193.7999999999993</v>
      </c>
      <c r="Z76" s="2"/>
      <c r="AA76" s="16">
        <f>254861.86+627161.14</f>
        <v>882023</v>
      </c>
      <c r="AB76" s="16"/>
      <c r="AC76" s="16">
        <f>363441.69+1320113.41</f>
        <v>1683555.0999999999</v>
      </c>
      <c r="AD76" s="16">
        <f>20923.56+643955.03</f>
        <v>664878.59000000008</v>
      </c>
      <c r="AE76" s="16">
        <f>283794.68+8867.96+960334.11</f>
        <v>1252996.75</v>
      </c>
      <c r="AF76" s="16">
        <f>283794.68+960334.11</f>
        <v>1244128.79</v>
      </c>
      <c r="AG76" s="16"/>
      <c r="AH76" s="16"/>
      <c r="AI76" s="16">
        <f>257174.49+1213163.76+30859.57</f>
        <v>1501197.82</v>
      </c>
      <c r="AJ76" s="16"/>
      <c r="AK76" s="16"/>
      <c r="AL76" s="16"/>
      <c r="AM76" s="23">
        <f>158284.05+10791.51+1060420.11</f>
        <v>1229495.6700000002</v>
      </c>
      <c r="AN76" s="23">
        <f>158284.05+1060420.11</f>
        <v>1218704.1600000001</v>
      </c>
      <c r="AO76" s="23"/>
      <c r="AP76" s="23"/>
      <c r="AQ76" s="23">
        <f>269059.33+5560.42+1380377.95</f>
        <v>1654997.7</v>
      </c>
      <c r="AR76" s="23">
        <f>269059.33+1380377.95</f>
        <v>1649437.28</v>
      </c>
      <c r="AS76" s="23"/>
      <c r="AT76" s="23"/>
      <c r="AU76" s="17"/>
      <c r="AV76" s="17"/>
    </row>
    <row r="77" spans="1:48">
      <c r="A77" s="127" t="s">
        <v>9</v>
      </c>
      <c r="B77" s="128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>
        <f>218898</f>
        <v>218898</v>
      </c>
      <c r="P77" s="2"/>
      <c r="Q77" s="2">
        <v>206882</v>
      </c>
      <c r="R77" s="2"/>
      <c r="S77" s="2">
        <v>165360</v>
      </c>
      <c r="T77" s="2"/>
      <c r="U77" s="2">
        <v>188686.65</v>
      </c>
      <c r="V77" s="2"/>
      <c r="W77" s="2">
        <f>191073</f>
        <v>191073</v>
      </c>
      <c r="X77" s="2"/>
      <c r="Y77" s="2">
        <v>-12759</v>
      </c>
      <c r="Z77" s="2"/>
      <c r="AA77" s="16"/>
      <c r="AB77" s="16"/>
      <c r="AC77" s="16"/>
      <c r="AD77" s="16"/>
      <c r="AE77" s="16">
        <f>92285.57+477</f>
        <v>92762.57</v>
      </c>
      <c r="AF77" s="16">
        <v>92285.57</v>
      </c>
      <c r="AG77" s="16"/>
      <c r="AH77" s="16"/>
      <c r="AI77" s="16">
        <f>119356.57+170</f>
        <v>119526.57</v>
      </c>
      <c r="AJ77" s="16"/>
      <c r="AK77" s="16"/>
      <c r="AL77" s="16"/>
      <c r="AM77" s="23">
        <v>64281.21</v>
      </c>
      <c r="AN77" s="23">
        <v>64281.21</v>
      </c>
      <c r="AO77" s="23"/>
      <c r="AP77" s="23"/>
      <c r="AQ77" s="23"/>
      <c r="AR77" s="23"/>
      <c r="AS77" s="23"/>
      <c r="AT77" s="23"/>
      <c r="AU77" s="17"/>
      <c r="AV77" s="17"/>
    </row>
    <row r="78" spans="1:48">
      <c r="A78" s="127" t="s">
        <v>14</v>
      </c>
      <c r="B78" s="128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>
        <v>2683.17</v>
      </c>
      <c r="Z78" s="2"/>
      <c r="AA78" s="16">
        <v>199342.7</v>
      </c>
      <c r="AB78" s="16"/>
      <c r="AC78" s="16">
        <f>1258375.62</f>
        <v>1258375.6200000001</v>
      </c>
      <c r="AD78" s="16">
        <v>844102</v>
      </c>
      <c r="AE78" s="16">
        <f>633441.77</f>
        <v>633441.77</v>
      </c>
      <c r="AF78" s="16">
        <v>633441.77</v>
      </c>
      <c r="AG78" s="16"/>
      <c r="AH78" s="16"/>
      <c r="AI78" s="16">
        <v>455519.72</v>
      </c>
      <c r="AJ78" s="16"/>
      <c r="AK78" s="16"/>
      <c r="AL78" s="16"/>
      <c r="AM78" s="23">
        <v>477748.33</v>
      </c>
      <c r="AN78" s="23">
        <v>477748.33</v>
      </c>
      <c r="AO78" s="23"/>
      <c r="AP78" s="23"/>
      <c r="AQ78" s="23">
        <v>466638.86</v>
      </c>
      <c r="AR78" s="23">
        <v>466638.86</v>
      </c>
      <c r="AS78" s="23"/>
      <c r="AT78" s="23"/>
      <c r="AU78" s="17"/>
      <c r="AV78" s="17"/>
    </row>
    <row r="79" spans="1:48">
      <c r="A79" s="139" t="s">
        <v>52</v>
      </c>
      <c r="B79" s="140"/>
      <c r="C79" s="138">
        <v>10765845.27</v>
      </c>
      <c r="D79" s="138">
        <v>7171240.7400000002</v>
      </c>
      <c r="E79" s="138">
        <f>SUM(E81:E85)</f>
        <v>13066265.32</v>
      </c>
      <c r="F79" s="138">
        <f>SUM(F81:F85)</f>
        <v>9363054.25</v>
      </c>
      <c r="G79" s="138">
        <f t="shared" ref="G79:AC79" si="21">SUM(G81:G85)</f>
        <v>12452961.670000002</v>
      </c>
      <c r="H79" s="138">
        <f t="shared" si="21"/>
        <v>10697359.270000001</v>
      </c>
      <c r="I79" s="138">
        <f t="shared" si="21"/>
        <v>10509503.82</v>
      </c>
      <c r="J79" s="138">
        <f t="shared" si="21"/>
        <v>9311032.910000002</v>
      </c>
      <c r="K79" s="138">
        <f t="shared" si="21"/>
        <v>9816963.7700000014</v>
      </c>
      <c r="L79" s="138">
        <f t="shared" si="21"/>
        <v>9514146.0000000019</v>
      </c>
      <c r="M79" s="138">
        <f t="shared" si="21"/>
        <v>10491903.119999999</v>
      </c>
      <c r="N79" s="138">
        <f t="shared" si="21"/>
        <v>10223094.629999999</v>
      </c>
      <c r="O79" s="138">
        <f t="shared" si="21"/>
        <v>11041075.82</v>
      </c>
      <c r="P79" s="138">
        <f t="shared" si="21"/>
        <v>9852688.540000001</v>
      </c>
      <c r="Q79" s="138">
        <f t="shared" si="21"/>
        <v>11491967.560000001</v>
      </c>
      <c r="R79" s="138">
        <f t="shared" si="21"/>
        <v>9865070.0600000005</v>
      </c>
      <c r="S79" s="138">
        <f t="shared" si="21"/>
        <v>12060303.5</v>
      </c>
      <c r="T79" s="138">
        <f t="shared" si="21"/>
        <v>10862190.040000001</v>
      </c>
      <c r="U79" s="138">
        <f t="shared" si="21"/>
        <v>11619250.300000001</v>
      </c>
      <c r="V79" s="138">
        <f t="shared" si="21"/>
        <v>9816511.040000001</v>
      </c>
      <c r="W79" s="138">
        <f t="shared" si="21"/>
        <v>11514591.1</v>
      </c>
      <c r="X79" s="138">
        <f t="shared" si="21"/>
        <v>10293165.02</v>
      </c>
      <c r="Y79" s="138">
        <f t="shared" si="21"/>
        <v>14972637.870000001</v>
      </c>
      <c r="Z79" s="138">
        <f t="shared" si="21"/>
        <v>11006589.689999999</v>
      </c>
      <c r="AA79" s="145">
        <f t="shared" si="21"/>
        <v>11434380.700000001</v>
      </c>
      <c r="AB79" s="145">
        <f t="shared" si="21"/>
        <v>1118646.56</v>
      </c>
      <c r="AC79" s="145">
        <f t="shared" si="21"/>
        <v>20378851.969999999</v>
      </c>
      <c r="AD79" s="145">
        <f t="shared" ref="AD79:AG79" si="22">AD81+AD82+AD83+AD84+AD85</f>
        <v>6845671.4899999993</v>
      </c>
      <c r="AE79" s="125">
        <f t="shared" si="22"/>
        <v>16329235.25</v>
      </c>
      <c r="AF79" s="125">
        <v>0</v>
      </c>
      <c r="AG79" s="125">
        <f t="shared" si="22"/>
        <v>5018242.82</v>
      </c>
      <c r="AH79" s="125">
        <v>0</v>
      </c>
      <c r="AI79" s="125">
        <f>AI81+AI82+AI83+AI84+AI85</f>
        <v>11485051.780000001</v>
      </c>
      <c r="AJ79" s="125"/>
      <c r="AK79" s="125">
        <f t="shared" ref="AK79:AT79" si="23">AK81+AK82+AK83+AK84+AK85</f>
        <v>0</v>
      </c>
      <c r="AL79" s="125">
        <f t="shared" si="23"/>
        <v>0</v>
      </c>
      <c r="AM79" s="150">
        <f t="shared" si="23"/>
        <v>7488101.6000000006</v>
      </c>
      <c r="AN79" s="150">
        <f t="shared" si="23"/>
        <v>0</v>
      </c>
      <c r="AO79" s="150">
        <f t="shared" si="23"/>
        <v>0</v>
      </c>
      <c r="AP79" s="150">
        <f t="shared" si="23"/>
        <v>0</v>
      </c>
      <c r="AQ79" s="150">
        <f t="shared" si="23"/>
        <v>12566871.460000001</v>
      </c>
      <c r="AR79" s="150">
        <f t="shared" si="23"/>
        <v>0</v>
      </c>
      <c r="AS79" s="150">
        <f t="shared" si="23"/>
        <v>0</v>
      </c>
      <c r="AT79" s="150">
        <f t="shared" si="23"/>
        <v>0</v>
      </c>
      <c r="AU79" s="143">
        <f>AQ79/AM79-1</f>
        <v>0.67824531921415177</v>
      </c>
      <c r="AV79" s="143" t="e">
        <f>AS79/AO79-1</f>
        <v>#DIV/0!</v>
      </c>
    </row>
    <row r="80" spans="1:48">
      <c r="A80" s="141"/>
      <c r="B80" s="142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32"/>
      <c r="AB80" s="132"/>
      <c r="AC80" s="132"/>
      <c r="AD80" s="132"/>
      <c r="AE80" s="126"/>
      <c r="AF80" s="126"/>
      <c r="AG80" s="126"/>
      <c r="AH80" s="126"/>
      <c r="AI80" s="126"/>
      <c r="AJ80" s="126"/>
      <c r="AK80" s="126"/>
      <c r="AL80" s="126"/>
      <c r="AM80" s="151"/>
      <c r="AN80" s="151"/>
      <c r="AO80" s="151"/>
      <c r="AP80" s="151"/>
      <c r="AQ80" s="151"/>
      <c r="AR80" s="151"/>
      <c r="AS80" s="151"/>
      <c r="AT80" s="151"/>
      <c r="AU80" s="144"/>
      <c r="AV80" s="144"/>
    </row>
    <row r="81" spans="1:48" ht="45" customHeight="1">
      <c r="A81" s="127" t="s">
        <v>10</v>
      </c>
      <c r="B81" s="128"/>
      <c r="C81" s="2"/>
      <c r="D81" s="2"/>
      <c r="E81" s="2">
        <v>1445875.56</v>
      </c>
      <c r="F81" s="2">
        <v>504057.32</v>
      </c>
      <c r="G81" s="2">
        <f>15780.83+1401592.32</f>
        <v>1417373.1500000001</v>
      </c>
      <c r="H81" s="2">
        <f>497307.75</f>
        <v>497307.75</v>
      </c>
      <c r="I81" s="2">
        <f>14359.15+1094634.15</f>
        <v>1108993.2999999998</v>
      </c>
      <c r="J81" s="2">
        <v>581610.39</v>
      </c>
      <c r="K81" s="2">
        <f>45290.3+812014.95</f>
        <v>857305.25</v>
      </c>
      <c r="L81" s="2">
        <v>554487.48</v>
      </c>
      <c r="M81" s="2">
        <f>22392+828113.09</f>
        <v>850505.09</v>
      </c>
      <c r="N81" s="2">
        <f>581696.6</f>
        <v>581696.6</v>
      </c>
      <c r="O81" s="2">
        <f>24207.15+1590490.12</f>
        <v>1614697.27</v>
      </c>
      <c r="P81" s="2">
        <f>484794.48</f>
        <v>484794.48</v>
      </c>
      <c r="Q81" s="2">
        <v>1906086.62</v>
      </c>
      <c r="R81" s="2"/>
      <c r="S81" s="2">
        <f>23600.15+1705289.54</f>
        <v>1728889.69</v>
      </c>
      <c r="T81" s="2">
        <v>530776.23</v>
      </c>
      <c r="U81" s="2">
        <f>2268996.34+30919.15</f>
        <v>2299915.4899999998</v>
      </c>
      <c r="V81" s="2">
        <v>497176.23</v>
      </c>
      <c r="W81" s="2">
        <f>2127960.81+48959.2</f>
        <v>2176920.0100000002</v>
      </c>
      <c r="X81" s="2">
        <v>955493.93</v>
      </c>
      <c r="Y81" s="2">
        <v>2219644.2799999998</v>
      </c>
      <c r="Z81" s="2">
        <f>782752.86</f>
        <v>782752.86</v>
      </c>
      <c r="AA81" s="16">
        <f>25455.33+3676740.99</f>
        <v>3702196.3200000003</v>
      </c>
      <c r="AB81" s="16">
        <v>370926</v>
      </c>
      <c r="AC81" s="16">
        <f>25119.87+10218497.79</f>
        <v>10243617.659999998</v>
      </c>
      <c r="AD81" s="16">
        <v>3812324.48</v>
      </c>
      <c r="AE81" s="16">
        <f>36469.87+5446750.25</f>
        <v>5483220.1200000001</v>
      </c>
      <c r="AF81" s="32">
        <v>0</v>
      </c>
      <c r="AG81" s="16">
        <v>2700000</v>
      </c>
      <c r="AH81" s="16">
        <v>0</v>
      </c>
      <c r="AI81" s="16">
        <f>10710.07+2822965.23</f>
        <v>2833675.3</v>
      </c>
      <c r="AJ81" s="16"/>
      <c r="AK81" s="16"/>
      <c r="AL81" s="16"/>
      <c r="AM81" s="23">
        <f>9192.56+2282555.49</f>
        <v>2291748.0500000003</v>
      </c>
      <c r="AN81" s="23"/>
      <c r="AO81" s="23"/>
      <c r="AP81" s="23"/>
      <c r="AQ81" s="23">
        <f>33053.96+5834326.49</f>
        <v>5867380.4500000002</v>
      </c>
      <c r="AR81" s="23"/>
      <c r="AS81" s="23"/>
      <c r="AT81" s="23"/>
      <c r="AU81" s="17"/>
      <c r="AV81" s="17"/>
    </row>
    <row r="82" spans="1:48">
      <c r="A82" s="127" t="s">
        <v>7</v>
      </c>
      <c r="B82" s="128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>
        <v>107414.79</v>
      </c>
      <c r="R82" s="2"/>
      <c r="S82" s="2"/>
      <c r="T82" s="2"/>
      <c r="U82" s="2"/>
      <c r="V82" s="2"/>
      <c r="W82" s="2"/>
      <c r="X82" s="2"/>
      <c r="Y82" s="2"/>
      <c r="Z82" s="2"/>
      <c r="AA82" s="16">
        <f>240366.78+3338386.23</f>
        <v>3578753.01</v>
      </c>
      <c r="AB82" s="16"/>
      <c r="AC82" s="16">
        <f>213303.85+3570475.36</f>
        <v>3783779.21</v>
      </c>
      <c r="AD82" s="16"/>
      <c r="AE82" s="16">
        <f>1013379.37+4504888.09</f>
        <v>5518267.46</v>
      </c>
      <c r="AF82" s="16"/>
      <c r="AG82" s="16"/>
      <c r="AH82" s="16"/>
      <c r="AI82" s="16">
        <f>1131560.79+5170327.87</f>
        <v>6301888.6600000001</v>
      </c>
      <c r="AJ82" s="16"/>
      <c r="AK82" s="16"/>
      <c r="AL82" s="16"/>
      <c r="AM82" s="23">
        <v>4301429.2699999996</v>
      </c>
      <c r="AN82" s="23"/>
      <c r="AO82" s="23"/>
      <c r="AP82" s="23"/>
      <c r="AQ82" s="23">
        <v>4700268.51</v>
      </c>
      <c r="AR82" s="23"/>
      <c r="AS82" s="23"/>
      <c r="AT82" s="23"/>
      <c r="AU82" s="17"/>
      <c r="AV82" s="17"/>
    </row>
    <row r="83" spans="1:48" ht="43.2" customHeight="1">
      <c r="A83" s="127" t="s">
        <v>8</v>
      </c>
      <c r="B83" s="128"/>
      <c r="C83" s="2"/>
      <c r="D83" s="2"/>
      <c r="E83" s="2">
        <v>1463841.51</v>
      </c>
      <c r="F83" s="2"/>
      <c r="G83" s="2">
        <v>166700</v>
      </c>
      <c r="H83" s="2"/>
      <c r="I83" s="2"/>
      <c r="J83" s="2"/>
      <c r="K83" s="2"/>
      <c r="L83" s="2"/>
      <c r="M83" s="2"/>
      <c r="N83" s="2"/>
      <c r="O83" s="2">
        <v>27151.16</v>
      </c>
      <c r="P83" s="2"/>
      <c r="Q83" s="2">
        <v>78572.100000000006</v>
      </c>
      <c r="R83" s="2"/>
      <c r="S83" s="2"/>
      <c r="T83" s="2"/>
      <c r="U83" s="2"/>
      <c r="V83" s="2"/>
      <c r="W83" s="2"/>
      <c r="X83" s="2"/>
      <c r="Y83" s="2">
        <v>1439851.12</v>
      </c>
      <c r="Z83" s="2"/>
      <c r="AA83" s="16">
        <f>182858.49+1828141.64</f>
        <v>2011000.13</v>
      </c>
      <c r="AB83" s="16"/>
      <c r="AC83" s="16">
        <f>194574.38+2050743.86</f>
        <v>2245318.2400000002</v>
      </c>
      <c r="AD83" s="16"/>
      <c r="AE83" s="16">
        <f>840855.82+2166721.03</f>
        <v>3007576.8499999996</v>
      </c>
      <c r="AF83" s="16"/>
      <c r="AG83" s="16"/>
      <c r="AH83" s="16"/>
      <c r="AI83" s="16">
        <f>482166.78+1867321.04</f>
        <v>2349487.8200000003</v>
      </c>
      <c r="AJ83" s="16"/>
      <c r="AK83" s="16"/>
      <c r="AL83" s="16"/>
      <c r="AM83" s="23">
        <f>63.85+894860.43</f>
        <v>894924.28</v>
      </c>
      <c r="AN83" s="23"/>
      <c r="AO83" s="23"/>
      <c r="AP83" s="23"/>
      <c r="AQ83" s="23">
        <v>1999222.5</v>
      </c>
      <c r="AR83" s="23"/>
      <c r="AS83" s="23"/>
      <c r="AT83" s="23"/>
      <c r="AU83" s="17"/>
      <c r="AV83" s="17"/>
    </row>
    <row r="84" spans="1:48">
      <c r="A84" s="127" t="s">
        <v>9</v>
      </c>
      <c r="B84" s="128"/>
      <c r="C84" s="2"/>
      <c r="D84" s="2"/>
      <c r="E84" s="2">
        <v>10156548.25</v>
      </c>
      <c r="F84" s="2">
        <v>8858996.9299999997</v>
      </c>
      <c r="G84" s="2">
        <f>317.3+10868571.22</f>
        <v>10868888.520000001</v>
      </c>
      <c r="H84" s="2">
        <f>10199734.22+317.3</f>
        <v>10200051.520000001</v>
      </c>
      <c r="I84" s="2">
        <f>317.3+9400193.22</f>
        <v>9400510.5200000014</v>
      </c>
      <c r="J84" s="2">
        <f>317.3+8729105.22</f>
        <v>8729422.5200000014</v>
      </c>
      <c r="K84" s="2">
        <f>317.3+8959341.22</f>
        <v>8959658.5200000014</v>
      </c>
      <c r="L84" s="2">
        <f>317.3+8959341.22</f>
        <v>8959658.5200000014</v>
      </c>
      <c r="M84" s="2">
        <v>9641398.0299999993</v>
      </c>
      <c r="N84" s="2">
        <v>9641398.0299999993</v>
      </c>
      <c r="O84" s="2">
        <f>9367894.06</f>
        <v>9367894.0600000005</v>
      </c>
      <c r="P84" s="2">
        <f>9367894.06</f>
        <v>9367894.0600000005</v>
      </c>
      <c r="Q84" s="2">
        <f>9367894.06</f>
        <v>9367894.0600000005</v>
      </c>
      <c r="R84" s="2">
        <v>9865070.0600000005</v>
      </c>
      <c r="S84" s="2">
        <v>10331413.810000001</v>
      </c>
      <c r="T84" s="2">
        <v>10331413.810000001</v>
      </c>
      <c r="U84" s="2">
        <v>9319334.8100000005</v>
      </c>
      <c r="V84" s="2">
        <v>9319334.8100000005</v>
      </c>
      <c r="W84" s="2">
        <f>9337671.09</f>
        <v>9337671.0899999999</v>
      </c>
      <c r="X84" s="2">
        <v>9337671.0899999999</v>
      </c>
      <c r="Y84" s="2">
        <v>11178667.26</v>
      </c>
      <c r="Z84" s="2">
        <v>10089361.619999999</v>
      </c>
      <c r="AA84" s="16">
        <f>41557.97+1353152.71</f>
        <v>1394710.68</v>
      </c>
      <c r="AB84" s="16"/>
      <c r="AC84" s="16">
        <f>79834.83+2444326.98</f>
        <v>2524161.81</v>
      </c>
      <c r="AD84" s="16">
        <v>1451371.96</v>
      </c>
      <c r="AE84" s="16">
        <v>497002</v>
      </c>
      <c r="AF84" s="16"/>
      <c r="AG84" s="16">
        <v>495074</v>
      </c>
      <c r="AH84" s="16"/>
      <c r="AI84" s="16"/>
      <c r="AJ84" s="16"/>
      <c r="AK84" s="16"/>
      <c r="AL84" s="16"/>
      <c r="AM84" s="23"/>
      <c r="AN84" s="23"/>
      <c r="AO84" s="23"/>
      <c r="AP84" s="23"/>
      <c r="AQ84" s="23"/>
      <c r="AR84" s="23"/>
      <c r="AS84" s="23"/>
      <c r="AT84" s="23"/>
      <c r="AU84" s="17"/>
      <c r="AV84" s="17"/>
    </row>
    <row r="85" spans="1:48">
      <c r="A85" s="127" t="s">
        <v>14</v>
      </c>
      <c r="B85" s="128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>
        <v>31333.33</v>
      </c>
      <c r="P85" s="2"/>
      <c r="Q85" s="2">
        <v>31999.99</v>
      </c>
      <c r="R85" s="2"/>
      <c r="S85" s="2"/>
      <c r="T85" s="2"/>
      <c r="U85" s="2"/>
      <c r="V85" s="2"/>
      <c r="W85" s="2"/>
      <c r="X85" s="2"/>
      <c r="Y85" s="2">
        <v>134475.21</v>
      </c>
      <c r="Z85" s="2">
        <v>134475.21</v>
      </c>
      <c r="AA85" s="16">
        <v>747720.56</v>
      </c>
      <c r="AB85" s="16">
        <v>747720.56</v>
      </c>
      <c r="AC85" s="16">
        <v>1581975.05</v>
      </c>
      <c r="AD85" s="16">
        <v>1581975.05</v>
      </c>
      <c r="AE85" s="16">
        <v>1823168.82</v>
      </c>
      <c r="AF85" s="16"/>
      <c r="AG85" s="16">
        <v>1823168.82</v>
      </c>
      <c r="AH85" s="16"/>
      <c r="AI85" s="13"/>
      <c r="AJ85" s="13"/>
      <c r="AK85" s="13"/>
      <c r="AL85" s="13"/>
      <c r="AM85" s="13"/>
      <c r="AN85" s="13"/>
      <c r="AO85" s="13"/>
      <c r="AP85" s="13"/>
      <c r="AQ85" s="23"/>
      <c r="AR85" s="23"/>
      <c r="AS85" s="23"/>
      <c r="AT85" s="23"/>
      <c r="AU85" s="17"/>
      <c r="AV85" s="17"/>
    </row>
    <row r="86" spans="1:48" hidden="1">
      <c r="A86" s="139" t="s">
        <v>4</v>
      </c>
      <c r="B86" s="140"/>
      <c r="C86" s="138">
        <v>654159.29</v>
      </c>
      <c r="D86" s="138">
        <f>SUM(D88:D92)</f>
        <v>0</v>
      </c>
      <c r="E86" s="138">
        <f t="shared" ref="E86:Z86" si="24">SUM(E88:E92)</f>
        <v>159427.71</v>
      </c>
      <c r="F86" s="138">
        <f t="shared" si="24"/>
        <v>156150</v>
      </c>
      <c r="G86" s="138">
        <f t="shared" si="24"/>
        <v>166323.26</v>
      </c>
      <c r="H86" s="138">
        <f t="shared" si="24"/>
        <v>156150</v>
      </c>
      <c r="I86" s="138">
        <f t="shared" si="24"/>
        <v>158187.54</v>
      </c>
      <c r="J86" s="138">
        <f t="shared" si="24"/>
        <v>156150</v>
      </c>
      <c r="K86" s="138">
        <f t="shared" si="24"/>
        <v>157389.10999999999</v>
      </c>
      <c r="L86" s="138">
        <f t="shared" si="24"/>
        <v>156150</v>
      </c>
      <c r="M86" s="138">
        <f t="shared" si="24"/>
        <v>162310.56</v>
      </c>
      <c r="N86" s="138">
        <f t="shared" si="24"/>
        <v>156150</v>
      </c>
      <c r="O86" s="138">
        <f t="shared" si="24"/>
        <v>158206.72</v>
      </c>
      <c r="P86" s="138">
        <f t="shared" si="24"/>
        <v>156150</v>
      </c>
      <c r="Q86" s="138">
        <f t="shared" si="24"/>
        <v>162910.32999999999</v>
      </c>
      <c r="R86" s="138">
        <f t="shared" si="24"/>
        <v>156150</v>
      </c>
      <c r="S86" s="138">
        <f t="shared" si="24"/>
        <v>159608.60999999999</v>
      </c>
      <c r="T86" s="138">
        <f t="shared" si="24"/>
        <v>156150</v>
      </c>
      <c r="U86" s="138">
        <f t="shared" si="24"/>
        <v>157986.35</v>
      </c>
      <c r="V86" s="138">
        <f t="shared" si="24"/>
        <v>156150</v>
      </c>
      <c r="W86" s="138">
        <f t="shared" si="24"/>
        <v>159926.9</v>
      </c>
      <c r="X86" s="138">
        <f t="shared" si="24"/>
        <v>156150</v>
      </c>
      <c r="Y86" s="138">
        <f t="shared" si="24"/>
        <v>0</v>
      </c>
      <c r="Z86" s="138">
        <f t="shared" si="24"/>
        <v>0</v>
      </c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80"/>
      <c r="AR86" s="80"/>
      <c r="AS86" s="80"/>
      <c r="AT86" s="80"/>
      <c r="AU86" s="143">
        <f>Y86/E86-1</f>
        <v>-1</v>
      </c>
      <c r="AV86" s="143">
        <f>Z86/F86-1</f>
        <v>-1</v>
      </c>
    </row>
    <row r="87" spans="1:48" hidden="1">
      <c r="A87" s="141"/>
      <c r="B87" s="142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89"/>
      <c r="AR87" s="89"/>
      <c r="AS87" s="89"/>
      <c r="AT87" s="89"/>
      <c r="AU87" s="144"/>
      <c r="AV87" s="144"/>
    </row>
    <row r="88" spans="1:48" hidden="1">
      <c r="A88" s="127" t="s">
        <v>10</v>
      </c>
      <c r="B88" s="128"/>
      <c r="C88" s="2"/>
      <c r="D88" s="2"/>
      <c r="E88" s="2">
        <v>2936.71</v>
      </c>
      <c r="F88" s="2"/>
      <c r="G88" s="2">
        <v>10173.26</v>
      </c>
      <c r="H88" s="2"/>
      <c r="I88" s="2">
        <v>2037.54</v>
      </c>
      <c r="J88" s="2"/>
      <c r="K88" s="2">
        <v>1239.1099999999999</v>
      </c>
      <c r="L88" s="2"/>
      <c r="M88" s="2">
        <v>6160.56</v>
      </c>
      <c r="N88" s="2"/>
      <c r="O88" s="2">
        <v>2056.7199999999998</v>
      </c>
      <c r="P88" s="2"/>
      <c r="Q88" s="2">
        <v>4968.33</v>
      </c>
      <c r="R88" s="2"/>
      <c r="S88" s="2">
        <v>3458.61</v>
      </c>
      <c r="T88" s="2"/>
      <c r="U88" s="2">
        <v>1836.35</v>
      </c>
      <c r="V88" s="2"/>
      <c r="W88" s="2">
        <v>3776.9</v>
      </c>
      <c r="X88" s="2"/>
      <c r="Y88" s="2"/>
      <c r="Z88" s="2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23"/>
      <c r="AR88" s="23"/>
      <c r="AS88" s="23"/>
      <c r="AT88" s="23"/>
      <c r="AU88" s="17"/>
      <c r="AV88" s="17"/>
    </row>
    <row r="89" spans="1:48" hidden="1">
      <c r="A89" s="127" t="s">
        <v>7</v>
      </c>
      <c r="B89" s="128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23"/>
      <c r="AR89" s="23"/>
      <c r="AS89" s="23"/>
      <c r="AT89" s="23"/>
      <c r="AU89" s="17"/>
      <c r="AV89" s="17"/>
    </row>
    <row r="90" spans="1:48" hidden="1">
      <c r="A90" s="127" t="s">
        <v>8</v>
      </c>
      <c r="B90" s="128"/>
      <c r="C90" s="2"/>
      <c r="D90" s="2"/>
      <c r="E90" s="2">
        <v>-10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23"/>
      <c r="AR90" s="23"/>
      <c r="AS90" s="23"/>
      <c r="AT90" s="23"/>
      <c r="AU90" s="17"/>
      <c r="AV90" s="17"/>
    </row>
    <row r="91" spans="1:48" hidden="1">
      <c r="A91" s="127" t="s">
        <v>9</v>
      </c>
      <c r="B91" s="128"/>
      <c r="C91" s="2"/>
      <c r="D91" s="2"/>
      <c r="E91" s="2">
        <v>351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>
        <v>1792</v>
      </c>
      <c r="R91" s="2"/>
      <c r="S91" s="2"/>
      <c r="T91" s="2"/>
      <c r="U91" s="2"/>
      <c r="V91" s="2"/>
      <c r="W91" s="2"/>
      <c r="X91" s="2"/>
      <c r="Y91" s="2"/>
      <c r="Z91" s="2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23"/>
      <c r="AR91" s="23"/>
      <c r="AS91" s="23"/>
      <c r="AT91" s="23"/>
      <c r="AU91" s="17"/>
      <c r="AV91" s="17"/>
    </row>
    <row r="92" spans="1:48" hidden="1">
      <c r="A92" s="127" t="s">
        <v>14</v>
      </c>
      <c r="B92" s="128"/>
      <c r="C92" s="2"/>
      <c r="D92" s="2"/>
      <c r="E92" s="2">
        <v>156150</v>
      </c>
      <c r="F92" s="2">
        <v>156150</v>
      </c>
      <c r="G92" s="2">
        <v>156150</v>
      </c>
      <c r="H92" s="2">
        <v>156150</v>
      </c>
      <c r="I92" s="2">
        <v>156150</v>
      </c>
      <c r="J92" s="2">
        <v>156150</v>
      </c>
      <c r="K92" s="2">
        <v>156150</v>
      </c>
      <c r="L92" s="2">
        <v>156150</v>
      </c>
      <c r="M92" s="2">
        <v>156150</v>
      </c>
      <c r="N92" s="2">
        <v>156150</v>
      </c>
      <c r="O92" s="2">
        <v>156150</v>
      </c>
      <c r="P92" s="2">
        <v>156150</v>
      </c>
      <c r="Q92" s="2">
        <v>156150</v>
      </c>
      <c r="R92" s="2">
        <v>156150</v>
      </c>
      <c r="S92" s="2">
        <v>156150</v>
      </c>
      <c r="T92" s="2">
        <v>156150</v>
      </c>
      <c r="U92" s="2">
        <v>156150</v>
      </c>
      <c r="V92" s="2">
        <v>156150</v>
      </c>
      <c r="W92" s="2">
        <v>156150</v>
      </c>
      <c r="X92" s="2">
        <v>156150</v>
      </c>
      <c r="Y92" s="2">
        <v>0</v>
      </c>
      <c r="Z92" s="2">
        <v>0</v>
      </c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23"/>
      <c r="AR92" s="23"/>
      <c r="AS92" s="23"/>
      <c r="AT92" s="23"/>
      <c r="AU92" s="17"/>
      <c r="AV92" s="17"/>
    </row>
    <row r="93" spans="1:48" hidden="1">
      <c r="A93" s="139" t="s">
        <v>15</v>
      </c>
      <c r="B93" s="140"/>
      <c r="C93" s="119">
        <v>10829169.880000001</v>
      </c>
      <c r="D93" s="119">
        <f>1640975.89+2975186.97+988391.8</f>
        <v>5604554.6600000001</v>
      </c>
      <c r="E93" s="119">
        <f>SUM(E95:E99)</f>
        <v>6197764.7700000005</v>
      </c>
      <c r="F93" s="119">
        <f>SUM(F95:F99)</f>
        <v>3749667.49</v>
      </c>
      <c r="G93" s="119">
        <f t="shared" ref="G93:AD93" si="25">SUM(G95:G99)</f>
        <v>6852948.2799999993</v>
      </c>
      <c r="H93" s="119">
        <f t="shared" si="25"/>
        <v>3749667.49</v>
      </c>
      <c r="I93" s="119">
        <f t="shared" si="25"/>
        <v>5929212.6499999994</v>
      </c>
      <c r="J93" s="119">
        <f t="shared" si="25"/>
        <v>2974471.0500000003</v>
      </c>
      <c r="K93" s="119">
        <f t="shared" si="25"/>
        <v>7559967.5599999996</v>
      </c>
      <c r="L93" s="119">
        <f t="shared" si="25"/>
        <v>2974471.0500000003</v>
      </c>
      <c r="M93" s="119">
        <f t="shared" si="25"/>
        <v>6930316.6799999997</v>
      </c>
      <c r="N93" s="119">
        <f t="shared" si="25"/>
        <v>4894294.6399999997</v>
      </c>
      <c r="O93" s="119">
        <f t="shared" si="25"/>
        <v>7219255.4799999995</v>
      </c>
      <c r="P93" s="119">
        <f t="shared" si="25"/>
        <v>4894294.6399999997</v>
      </c>
      <c r="Q93" s="119">
        <f t="shared" si="25"/>
        <v>9600917.8499999996</v>
      </c>
      <c r="R93" s="119">
        <f t="shared" si="25"/>
        <v>4651292.82</v>
      </c>
      <c r="S93" s="119">
        <f t="shared" si="25"/>
        <v>8525632.5199999996</v>
      </c>
      <c r="T93" s="119">
        <f t="shared" si="25"/>
        <v>4005766.16</v>
      </c>
      <c r="U93" s="119">
        <f t="shared" si="25"/>
        <v>10599393.380000001</v>
      </c>
      <c r="V93" s="119">
        <f t="shared" si="25"/>
        <v>1496363.55</v>
      </c>
      <c r="W93" s="119">
        <f t="shared" si="25"/>
        <v>20377243.73</v>
      </c>
      <c r="X93" s="119">
        <f t="shared" si="25"/>
        <v>1496363.55</v>
      </c>
      <c r="Y93" s="119">
        <f t="shared" si="25"/>
        <v>20412653.610000003</v>
      </c>
      <c r="Z93" s="119">
        <f t="shared" si="25"/>
        <v>13308419.82</v>
      </c>
      <c r="AA93" s="131">
        <f t="shared" si="25"/>
        <v>54055934.440000005</v>
      </c>
      <c r="AB93" s="131">
        <f t="shared" si="25"/>
        <v>17697811.539999999</v>
      </c>
      <c r="AC93" s="131">
        <f t="shared" si="25"/>
        <v>61418098.109999999</v>
      </c>
      <c r="AD93" s="131">
        <f t="shared" si="25"/>
        <v>39172056.890000001</v>
      </c>
      <c r="AE93" s="121">
        <f>AE95+AE96+AE97+AE98+AE99</f>
        <v>75253.62</v>
      </c>
      <c r="AF93" s="121">
        <v>0</v>
      </c>
      <c r="AG93" s="121">
        <v>0</v>
      </c>
      <c r="AH93" s="121">
        <v>0</v>
      </c>
      <c r="AI93" s="121">
        <f t="shared" ref="AI93:AP93" si="26">AI95+AI96+AI97+AI98+AI99</f>
        <v>0</v>
      </c>
      <c r="AJ93" s="121">
        <f t="shared" si="26"/>
        <v>0</v>
      </c>
      <c r="AK93" s="121">
        <f t="shared" si="26"/>
        <v>0</v>
      </c>
      <c r="AL93" s="121">
        <f t="shared" si="26"/>
        <v>0</v>
      </c>
      <c r="AM93" s="154">
        <f t="shared" si="26"/>
        <v>0</v>
      </c>
      <c r="AN93" s="154">
        <f t="shared" si="26"/>
        <v>0</v>
      </c>
      <c r="AO93" s="154">
        <f t="shared" si="26"/>
        <v>0</v>
      </c>
      <c r="AP93" s="154">
        <f t="shared" si="26"/>
        <v>0</v>
      </c>
      <c r="AQ93" s="81"/>
      <c r="AR93" s="81"/>
      <c r="AS93" s="81"/>
      <c r="AT93" s="81"/>
      <c r="AU93" s="143" t="e">
        <f>AM93/AI93-1</f>
        <v>#DIV/0!</v>
      </c>
      <c r="AV93" s="143" t="e">
        <f>AO93/AK93-1</f>
        <v>#DIV/0!</v>
      </c>
    </row>
    <row r="94" spans="1:48" hidden="1">
      <c r="A94" s="141"/>
      <c r="B94" s="142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32"/>
      <c r="AB94" s="132"/>
      <c r="AC94" s="132"/>
      <c r="AD94" s="132"/>
      <c r="AE94" s="122"/>
      <c r="AF94" s="122"/>
      <c r="AG94" s="122"/>
      <c r="AH94" s="122"/>
      <c r="AI94" s="122"/>
      <c r="AJ94" s="122"/>
      <c r="AK94" s="122"/>
      <c r="AL94" s="122"/>
      <c r="AM94" s="155"/>
      <c r="AN94" s="155"/>
      <c r="AO94" s="155"/>
      <c r="AP94" s="155"/>
      <c r="AQ94" s="82"/>
      <c r="AR94" s="82"/>
      <c r="AS94" s="82"/>
      <c r="AT94" s="82"/>
      <c r="AU94" s="144"/>
      <c r="AV94" s="144"/>
    </row>
    <row r="95" spans="1:48" hidden="1">
      <c r="A95" s="127" t="s">
        <v>10</v>
      </c>
      <c r="B95" s="128"/>
      <c r="C95" s="1"/>
      <c r="D95" s="1"/>
      <c r="E95" s="1">
        <v>6195284.0800000001</v>
      </c>
      <c r="F95" s="1">
        <f>3363056.56+386610.93</f>
        <v>3749667.49</v>
      </c>
      <c r="G95" s="1">
        <f>2263909.36+4559378.25</f>
        <v>6823287.6099999994</v>
      </c>
      <c r="H95" s="1">
        <f>386610.93+3363056.56</f>
        <v>3749667.49</v>
      </c>
      <c r="I95" s="1">
        <f>1799893.76+4099496.79</f>
        <v>5899390.5499999998</v>
      </c>
      <c r="J95" s="1">
        <f>386610.93+2587860.12</f>
        <v>2974471.0500000003</v>
      </c>
      <c r="K95" s="1">
        <f>5416106.16+2141154.26+1386.18+1320.96</f>
        <v>7559967.5599999996</v>
      </c>
      <c r="L95" s="1">
        <f>2587860.12+386610.93</f>
        <v>2974471.0500000003</v>
      </c>
      <c r="M95" s="1">
        <v>6930316.6799999997</v>
      </c>
      <c r="N95" s="1">
        <v>4894294.6399999997</v>
      </c>
      <c r="O95" s="1">
        <f>1865798.47+5348998.75</f>
        <v>7214797.2199999997</v>
      </c>
      <c r="P95" s="1">
        <f>386610.93+4507683.71</f>
        <v>4894294.6399999997</v>
      </c>
      <c r="Q95" s="1">
        <v>9600917.8499999996</v>
      </c>
      <c r="R95" s="1">
        <v>4651292.82</v>
      </c>
      <c r="S95" s="1">
        <f>2951333.92+5555295.68+15251.76+3751.16</f>
        <v>8525632.5199999996</v>
      </c>
      <c r="T95" s="1">
        <f>3619155.23+386610.93</f>
        <v>4005766.16</v>
      </c>
      <c r="U95" s="1">
        <f>1992205.58+8591549.02+5323.15+10315.63</f>
        <v>10599393.380000001</v>
      </c>
      <c r="V95" s="1">
        <f>1109752.62+386610.93</f>
        <v>1496363.55</v>
      </c>
      <c r="W95" s="1">
        <f>10545735.23+9823125.67+3422.46+4960.37</f>
        <v>20377243.73</v>
      </c>
      <c r="X95" s="1">
        <f>386610.93+1109752.62</f>
        <v>1496363.55</v>
      </c>
      <c r="Y95" s="1">
        <v>20441640.960000001</v>
      </c>
      <c r="Z95" s="1">
        <v>13308419.82</v>
      </c>
      <c r="AA95" s="19">
        <f>33166250.55+116.03+20185020.65+10333.24-153588.27</f>
        <v>53208132.200000003</v>
      </c>
      <c r="AB95" s="19">
        <f>17535000.48+162811.06-153588.27</f>
        <v>17544223.27</v>
      </c>
      <c r="AC95" s="19">
        <f>44014737.97+19482.3+16465957.71</f>
        <v>60500177.979999997</v>
      </c>
      <c r="AD95" s="19">
        <f>29503554.98+9668501.91</f>
        <v>39172056.890000001</v>
      </c>
      <c r="AE95" s="19">
        <v>75253.62</v>
      </c>
      <c r="AF95" s="19">
        <v>0</v>
      </c>
      <c r="AG95" s="19">
        <v>0</v>
      </c>
      <c r="AH95" s="19"/>
      <c r="AI95" s="12"/>
      <c r="AJ95" s="12"/>
      <c r="AK95" s="12"/>
      <c r="AL95" s="12"/>
      <c r="AM95" s="12"/>
      <c r="AN95" s="12"/>
      <c r="AO95" s="12"/>
      <c r="AP95" s="12"/>
      <c r="AQ95" s="59"/>
      <c r="AR95" s="59"/>
      <c r="AS95" s="59"/>
      <c r="AT95" s="59"/>
      <c r="AU95" s="66"/>
      <c r="AV95" s="66"/>
    </row>
    <row r="96" spans="1:48" hidden="1">
      <c r="A96" s="127" t="s">
        <v>7</v>
      </c>
      <c r="B96" s="128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9">
        <f>174701.03+239873.77</f>
        <v>414574.8</v>
      </c>
      <c r="AB96" s="19"/>
      <c r="AC96" s="19">
        <f>340113.75+6309.58+298211.41</f>
        <v>644634.74</v>
      </c>
      <c r="AD96" s="19"/>
      <c r="AE96" s="19"/>
      <c r="AF96" s="19"/>
      <c r="AG96" s="19"/>
      <c r="AH96" s="19"/>
      <c r="AI96" s="12"/>
      <c r="AJ96" s="12"/>
      <c r="AK96" s="12"/>
      <c r="AL96" s="12"/>
      <c r="AM96" s="12"/>
      <c r="AN96" s="12"/>
      <c r="AO96" s="12"/>
      <c r="AP96" s="12"/>
      <c r="AQ96" s="59"/>
      <c r="AR96" s="59"/>
      <c r="AS96" s="59"/>
      <c r="AT96" s="59"/>
      <c r="AU96" s="66"/>
      <c r="AV96" s="66"/>
    </row>
    <row r="97" spans="1:49" hidden="1">
      <c r="A97" s="127" t="s">
        <v>8</v>
      </c>
      <c r="B97" s="128"/>
      <c r="C97" s="1"/>
      <c r="D97" s="1"/>
      <c r="E97" s="1"/>
      <c r="F97" s="1"/>
      <c r="G97" s="1">
        <v>-0.01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9">
        <v>150004.17000000001</v>
      </c>
      <c r="AB97" s="19"/>
      <c r="AC97" s="19">
        <f>218911.42+53273.97</f>
        <v>272185.39</v>
      </c>
      <c r="AD97" s="19"/>
      <c r="AE97" s="19"/>
      <c r="AF97" s="19"/>
      <c r="AG97" s="19"/>
      <c r="AH97" s="19"/>
      <c r="AI97" s="12"/>
      <c r="AJ97" s="12"/>
      <c r="AK97" s="12"/>
      <c r="AL97" s="12"/>
      <c r="AM97" s="12"/>
      <c r="AN97" s="12"/>
      <c r="AO97" s="12"/>
      <c r="AP97" s="12"/>
      <c r="AQ97" s="59"/>
      <c r="AR97" s="59"/>
      <c r="AS97" s="59"/>
      <c r="AT97" s="59"/>
      <c r="AU97" s="66"/>
      <c r="AV97" s="66"/>
    </row>
    <row r="98" spans="1:49" hidden="1">
      <c r="A98" s="127" t="s">
        <v>9</v>
      </c>
      <c r="B98" s="128"/>
      <c r="C98" s="1"/>
      <c r="D98" s="1"/>
      <c r="E98" s="1"/>
      <c r="F98" s="1"/>
      <c r="G98" s="1">
        <v>-67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>
        <v>-94199.79</v>
      </c>
      <c r="Z98" s="1"/>
      <c r="AA98" s="19">
        <f>129635</f>
        <v>129635</v>
      </c>
      <c r="AB98" s="19"/>
      <c r="AC98" s="19"/>
      <c r="AD98" s="19"/>
      <c r="AE98" s="19"/>
      <c r="AF98" s="19"/>
      <c r="AG98" s="19"/>
      <c r="AH98" s="19"/>
      <c r="AI98" s="12"/>
      <c r="AJ98" s="12"/>
      <c r="AK98" s="12"/>
      <c r="AL98" s="12"/>
      <c r="AM98" s="12"/>
      <c r="AN98" s="12"/>
      <c r="AO98" s="12"/>
      <c r="AP98" s="12"/>
      <c r="AQ98" s="59"/>
      <c r="AR98" s="59"/>
      <c r="AS98" s="59"/>
      <c r="AT98" s="59"/>
      <c r="AU98" s="66"/>
      <c r="AV98" s="66"/>
    </row>
    <row r="99" spans="1:49" hidden="1">
      <c r="A99" s="127" t="s">
        <v>14</v>
      </c>
      <c r="B99" s="128"/>
      <c r="C99" s="1"/>
      <c r="D99" s="1"/>
      <c r="E99" s="1">
        <v>2480.69</v>
      </c>
      <c r="F99" s="1"/>
      <c r="G99" s="1">
        <f>10138.57+19589.11</f>
        <v>29727.68</v>
      </c>
      <c r="H99" s="1"/>
      <c r="I99" s="1">
        <f>14183.88+15638.22</f>
        <v>29822.1</v>
      </c>
      <c r="J99" s="1"/>
      <c r="K99" s="1"/>
      <c r="L99" s="1"/>
      <c r="M99" s="1"/>
      <c r="N99" s="1"/>
      <c r="O99" s="1">
        <v>4458.26</v>
      </c>
      <c r="P99" s="1"/>
      <c r="Q99" s="1"/>
      <c r="R99" s="1"/>
      <c r="S99" s="1"/>
      <c r="T99" s="1"/>
      <c r="U99" s="1"/>
      <c r="V99" s="1"/>
      <c r="W99" s="1"/>
      <c r="X99" s="1"/>
      <c r="Y99" s="1">
        <v>65212.44</v>
      </c>
      <c r="Z99" s="1"/>
      <c r="AA99" s="19">
        <v>153588.26999999999</v>
      </c>
      <c r="AB99" s="19">
        <v>153588.26999999999</v>
      </c>
      <c r="AC99" s="19">
        <v>1100</v>
      </c>
      <c r="AD99" s="19"/>
      <c r="AE99" s="19"/>
      <c r="AF99" s="19"/>
      <c r="AG99" s="19"/>
      <c r="AH99" s="19"/>
      <c r="AI99" s="12"/>
      <c r="AJ99" s="12"/>
      <c r="AK99" s="12"/>
      <c r="AL99" s="12"/>
      <c r="AM99" s="12"/>
      <c r="AN99" s="12"/>
      <c r="AO99" s="12"/>
      <c r="AP99" s="12"/>
      <c r="AQ99" s="59"/>
      <c r="AR99" s="59"/>
      <c r="AS99" s="59"/>
      <c r="AT99" s="59"/>
      <c r="AU99" s="66"/>
      <c r="AV99" s="66"/>
    </row>
    <row r="100" spans="1:49">
      <c r="A100" s="139" t="s">
        <v>13</v>
      </c>
      <c r="B100" s="140"/>
      <c r="C100" s="138">
        <v>-1470.89</v>
      </c>
      <c r="D100" s="138">
        <f>SUM(D102:D106)</f>
        <v>0</v>
      </c>
      <c r="E100" s="138">
        <f t="shared" ref="E100:AB100" si="27">SUM(E102:E106)</f>
        <v>741.25</v>
      </c>
      <c r="F100" s="138">
        <f t="shared" si="27"/>
        <v>0</v>
      </c>
      <c r="G100" s="138">
        <f t="shared" si="27"/>
        <v>0</v>
      </c>
      <c r="H100" s="138">
        <f t="shared" si="27"/>
        <v>0</v>
      </c>
      <c r="I100" s="138">
        <f t="shared" si="27"/>
        <v>0</v>
      </c>
      <c r="J100" s="138">
        <f t="shared" si="27"/>
        <v>0</v>
      </c>
      <c r="K100" s="138">
        <f t="shared" si="27"/>
        <v>0</v>
      </c>
      <c r="L100" s="138">
        <f t="shared" si="27"/>
        <v>0</v>
      </c>
      <c r="M100" s="138">
        <f t="shared" si="27"/>
        <v>0</v>
      </c>
      <c r="N100" s="138">
        <f t="shared" si="27"/>
        <v>0</v>
      </c>
      <c r="O100" s="138">
        <f t="shared" si="27"/>
        <v>0</v>
      </c>
      <c r="P100" s="138">
        <f t="shared" si="27"/>
        <v>0</v>
      </c>
      <c r="Q100" s="138">
        <f t="shared" si="27"/>
        <v>0</v>
      </c>
      <c r="R100" s="138">
        <f t="shared" si="27"/>
        <v>0</v>
      </c>
      <c r="S100" s="138">
        <f t="shared" si="27"/>
        <v>0</v>
      </c>
      <c r="T100" s="138">
        <f t="shared" si="27"/>
        <v>0</v>
      </c>
      <c r="U100" s="138">
        <f t="shared" si="27"/>
        <v>0</v>
      </c>
      <c r="V100" s="138">
        <f t="shared" si="27"/>
        <v>0</v>
      </c>
      <c r="W100" s="138">
        <f t="shared" si="27"/>
        <v>0</v>
      </c>
      <c r="X100" s="138">
        <f t="shared" si="27"/>
        <v>0</v>
      </c>
      <c r="Y100" s="138">
        <f t="shared" si="27"/>
        <v>0</v>
      </c>
      <c r="Z100" s="138">
        <f t="shared" si="27"/>
        <v>0</v>
      </c>
      <c r="AA100" s="145">
        <f>AA102+AA103+AA104+AA105+AA106</f>
        <v>84248.31</v>
      </c>
      <c r="AB100" s="145">
        <f t="shared" si="27"/>
        <v>0</v>
      </c>
      <c r="AC100" s="145">
        <f>SUM(AC102:AC106)</f>
        <v>130082.92000000001</v>
      </c>
      <c r="AD100" s="145">
        <f>SUM(AD102:AD106)</f>
        <v>0</v>
      </c>
      <c r="AE100" s="125">
        <f t="shared" ref="AE100:AT100" si="28">AE102+AE103+AE104+AE105+AE106</f>
        <v>45365.68</v>
      </c>
      <c r="AF100" s="125">
        <f t="shared" si="28"/>
        <v>0</v>
      </c>
      <c r="AG100" s="125">
        <v>0</v>
      </c>
      <c r="AH100" s="125">
        <f t="shared" si="28"/>
        <v>0</v>
      </c>
      <c r="AI100" s="125">
        <f t="shared" si="28"/>
        <v>0</v>
      </c>
      <c r="AJ100" s="125">
        <f t="shared" si="28"/>
        <v>0</v>
      </c>
      <c r="AK100" s="125">
        <f t="shared" si="28"/>
        <v>0</v>
      </c>
      <c r="AL100" s="125">
        <f t="shared" si="28"/>
        <v>0</v>
      </c>
      <c r="AM100" s="125">
        <f t="shared" si="28"/>
        <v>0</v>
      </c>
      <c r="AN100" s="125">
        <f t="shared" si="28"/>
        <v>0</v>
      </c>
      <c r="AO100" s="125">
        <f t="shared" si="28"/>
        <v>0</v>
      </c>
      <c r="AP100" s="125">
        <f t="shared" si="28"/>
        <v>0</v>
      </c>
      <c r="AQ100" s="150">
        <f t="shared" si="28"/>
        <v>0</v>
      </c>
      <c r="AR100" s="150">
        <f t="shared" si="28"/>
        <v>0</v>
      </c>
      <c r="AS100" s="150">
        <f t="shared" si="28"/>
        <v>0</v>
      </c>
      <c r="AT100" s="150">
        <f t="shared" si="28"/>
        <v>0</v>
      </c>
      <c r="AU100" s="143" t="e">
        <f>AQ100/AM100-1</f>
        <v>#DIV/0!</v>
      </c>
      <c r="AV100" s="143" t="e">
        <f>AS100/AO100-1</f>
        <v>#DIV/0!</v>
      </c>
    </row>
    <row r="101" spans="1:49">
      <c r="A101" s="141"/>
      <c r="B101" s="142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32"/>
      <c r="AB101" s="132"/>
      <c r="AC101" s="158"/>
      <c r="AD101" s="132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51"/>
      <c r="AR101" s="151"/>
      <c r="AS101" s="151"/>
      <c r="AT101" s="151"/>
      <c r="AU101" s="144"/>
      <c r="AV101" s="144"/>
    </row>
    <row r="102" spans="1:49" ht="45.6" customHeight="1">
      <c r="A102" s="127" t="s">
        <v>10</v>
      </c>
      <c r="B102" s="128"/>
      <c r="C102" s="2"/>
      <c r="D102" s="2"/>
      <c r="E102" s="2">
        <v>741.25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16"/>
      <c r="AB102" s="16"/>
      <c r="AC102" s="16">
        <v>5034.4399999999996</v>
      </c>
      <c r="AD102" s="13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23"/>
      <c r="AR102" s="23"/>
      <c r="AS102" s="23"/>
      <c r="AT102" s="23"/>
      <c r="AU102" s="17"/>
      <c r="AV102" s="17"/>
    </row>
    <row r="103" spans="1:49">
      <c r="A103" s="127" t="s">
        <v>7</v>
      </c>
      <c r="B103" s="128"/>
      <c r="C103" s="2"/>
      <c r="D103" s="2"/>
      <c r="E103" s="2">
        <v>0</v>
      </c>
      <c r="F103" s="2">
        <v>0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16">
        <v>53091.66</v>
      </c>
      <c r="AB103" s="16"/>
      <c r="AC103" s="16">
        <v>81730</v>
      </c>
      <c r="AD103" s="13"/>
      <c r="AE103" s="16">
        <v>28290.47</v>
      </c>
      <c r="AF103" s="16"/>
      <c r="AG103" s="16"/>
      <c r="AH103" s="16"/>
      <c r="AI103" s="13"/>
      <c r="AJ103" s="13"/>
      <c r="AK103" s="13"/>
      <c r="AL103" s="13"/>
      <c r="AM103" s="16"/>
      <c r="AN103" s="16"/>
      <c r="AO103" s="16"/>
      <c r="AP103" s="16"/>
      <c r="AQ103" s="23"/>
      <c r="AR103" s="23"/>
      <c r="AS103" s="23"/>
      <c r="AT103" s="23"/>
      <c r="AU103" s="17"/>
      <c r="AV103" s="17"/>
    </row>
    <row r="104" spans="1:49" ht="43.2" customHeight="1">
      <c r="A104" s="127" t="s">
        <v>8</v>
      </c>
      <c r="B104" s="128"/>
      <c r="C104" s="2"/>
      <c r="D104" s="2"/>
      <c r="E104" s="2">
        <v>0</v>
      </c>
      <c r="F104" s="2">
        <v>0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16">
        <v>31156.65</v>
      </c>
      <c r="AB104" s="16"/>
      <c r="AC104" s="16">
        <v>43318.48</v>
      </c>
      <c r="AD104" s="13"/>
      <c r="AE104" s="16">
        <v>17075.21</v>
      </c>
      <c r="AF104" s="16"/>
      <c r="AG104" s="16"/>
      <c r="AH104" s="16"/>
      <c r="AI104" s="13"/>
      <c r="AJ104" s="13"/>
      <c r="AK104" s="13"/>
      <c r="AL104" s="13"/>
      <c r="AM104" s="16"/>
      <c r="AN104" s="16"/>
      <c r="AO104" s="16"/>
      <c r="AP104" s="16"/>
      <c r="AQ104" s="23"/>
      <c r="AR104" s="23"/>
      <c r="AS104" s="23"/>
      <c r="AT104" s="23"/>
      <c r="AU104" s="17"/>
      <c r="AV104" s="17"/>
    </row>
    <row r="105" spans="1:49">
      <c r="A105" s="127" t="s">
        <v>9</v>
      </c>
      <c r="B105" s="128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16"/>
      <c r="AB105" s="23"/>
      <c r="AC105" s="13"/>
      <c r="AD105" s="13"/>
      <c r="AE105" s="16"/>
      <c r="AF105" s="16"/>
      <c r="AG105" s="16"/>
      <c r="AH105" s="16"/>
      <c r="AI105" s="13"/>
      <c r="AJ105" s="13"/>
      <c r="AK105" s="13"/>
      <c r="AL105" s="13"/>
      <c r="AM105" s="16"/>
      <c r="AN105" s="16"/>
      <c r="AO105" s="16"/>
      <c r="AP105" s="16"/>
      <c r="AQ105" s="23"/>
      <c r="AR105" s="23"/>
      <c r="AS105" s="23"/>
      <c r="AT105" s="23"/>
      <c r="AU105" s="17"/>
      <c r="AV105" s="17"/>
    </row>
    <row r="106" spans="1:49">
      <c r="A106" s="127" t="s">
        <v>14</v>
      </c>
      <c r="B106" s="128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23"/>
      <c r="AR106" s="23"/>
      <c r="AS106" s="23"/>
      <c r="AT106" s="23"/>
      <c r="AU106" s="17"/>
      <c r="AV106" s="17"/>
    </row>
    <row r="107" spans="1:49" ht="57.6" hidden="1">
      <c r="A107" s="7" t="s">
        <v>22</v>
      </c>
      <c r="B107" s="7"/>
      <c r="C107" s="9">
        <v>3090165.46</v>
      </c>
      <c r="D107" s="9">
        <v>3090165.46</v>
      </c>
      <c r="E107" s="9">
        <f>SUM(E108:E110)</f>
        <v>0</v>
      </c>
      <c r="F107" s="9">
        <f>SUM(F108:F110)</f>
        <v>0</v>
      </c>
      <c r="G107" s="9">
        <f t="shared" ref="G107:Z107" si="29">SUM(G108:G110)</f>
        <v>0</v>
      </c>
      <c r="H107" s="9">
        <f t="shared" si="29"/>
        <v>0</v>
      </c>
      <c r="I107" s="9">
        <f t="shared" si="29"/>
        <v>0</v>
      </c>
      <c r="J107" s="9">
        <f t="shared" si="29"/>
        <v>0</v>
      </c>
      <c r="K107" s="9">
        <f t="shared" si="29"/>
        <v>0</v>
      </c>
      <c r="L107" s="9">
        <f t="shared" si="29"/>
        <v>0</v>
      </c>
      <c r="M107" s="9">
        <f t="shared" si="29"/>
        <v>0</v>
      </c>
      <c r="N107" s="9">
        <f t="shared" si="29"/>
        <v>0</v>
      </c>
      <c r="O107" s="9">
        <f t="shared" si="29"/>
        <v>0</v>
      </c>
      <c r="P107" s="9">
        <f t="shared" si="29"/>
        <v>0</v>
      </c>
      <c r="Q107" s="9">
        <f t="shared" si="29"/>
        <v>0</v>
      </c>
      <c r="R107" s="9">
        <f t="shared" si="29"/>
        <v>0</v>
      </c>
      <c r="S107" s="9">
        <f t="shared" si="29"/>
        <v>0</v>
      </c>
      <c r="T107" s="9">
        <f t="shared" si="29"/>
        <v>0</v>
      </c>
      <c r="U107" s="9">
        <f t="shared" si="29"/>
        <v>0</v>
      </c>
      <c r="V107" s="9">
        <f t="shared" si="29"/>
        <v>0</v>
      </c>
      <c r="W107" s="9">
        <f t="shared" si="29"/>
        <v>0</v>
      </c>
      <c r="X107" s="9">
        <f t="shared" si="29"/>
        <v>0</v>
      </c>
      <c r="Y107" s="9">
        <f t="shared" si="29"/>
        <v>0</v>
      </c>
      <c r="Z107" s="9">
        <f t="shared" si="29"/>
        <v>0</v>
      </c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80"/>
      <c r="AR107" s="80"/>
      <c r="AS107" s="80"/>
      <c r="AT107" s="80"/>
      <c r="AU107" s="143">
        <v>0</v>
      </c>
      <c r="AV107" s="143">
        <v>0</v>
      </c>
    </row>
    <row r="108" spans="1:49" hidden="1">
      <c r="A108" s="127" t="s">
        <v>9</v>
      </c>
      <c r="B108" s="156"/>
      <c r="C108" s="2"/>
      <c r="D108" s="2"/>
      <c r="E108" s="2"/>
      <c r="F108" s="2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13"/>
      <c r="AB108" s="13"/>
      <c r="AC108" s="13"/>
      <c r="AD108" s="13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90"/>
      <c r="AR108" s="90"/>
      <c r="AS108" s="90"/>
      <c r="AT108" s="90"/>
      <c r="AU108" s="144"/>
      <c r="AV108" s="144"/>
    </row>
    <row r="109" spans="1:49" hidden="1">
      <c r="A109" s="157" t="s">
        <v>21</v>
      </c>
      <c r="B109" s="156"/>
      <c r="C109" s="9">
        <f>4008760.53+5844431.63+14283.75+179317.37</f>
        <v>10046793.279999999</v>
      </c>
      <c r="D109" s="9">
        <f>989699.04+1910943.77</f>
        <v>2900642.81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5"/>
      <c r="AR109" s="5"/>
      <c r="AS109" s="5"/>
      <c r="AT109" s="5"/>
      <c r="AU109" s="91"/>
      <c r="AV109" s="91"/>
    </row>
    <row r="110" spans="1:49" hidden="1">
      <c r="A110" s="8"/>
      <c r="B110" s="8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23"/>
      <c r="AR110" s="23"/>
      <c r="AS110" s="23"/>
      <c r="AT110" s="23"/>
      <c r="AU110" s="17"/>
      <c r="AV110" s="17"/>
    </row>
    <row r="111" spans="1:49">
      <c r="A111" s="157" t="s">
        <v>11</v>
      </c>
      <c r="B111" s="156"/>
      <c r="C111" s="10">
        <f>C8+C51+C58+C65+C72+C79+C86+C93+C100+C107+C109</f>
        <v>94587677.819999993</v>
      </c>
      <c r="D111" s="10">
        <f>D8+D51+D58+D65+D72+D79+D86+D93+D100+D107+D109</f>
        <v>68008770.719999999</v>
      </c>
      <c r="E111" s="10">
        <f t="shared" ref="E111:AD111" si="30">E8+E51+E58+E65+E72+E79+E86+E93+E100+E107</f>
        <v>85864729.75999999</v>
      </c>
      <c r="F111" s="10">
        <f t="shared" si="30"/>
        <v>66510808.209999993</v>
      </c>
      <c r="G111" s="10">
        <f t="shared" si="30"/>
        <v>93511066.090000018</v>
      </c>
      <c r="H111" s="10">
        <f t="shared" si="30"/>
        <v>66963948.660000004</v>
      </c>
      <c r="I111" s="10">
        <f t="shared" si="30"/>
        <v>92440148.88000001</v>
      </c>
      <c r="J111" s="10">
        <f t="shared" si="30"/>
        <v>69371696.100000009</v>
      </c>
      <c r="K111" s="10">
        <f t="shared" si="30"/>
        <v>93692017.959999993</v>
      </c>
      <c r="L111" s="10">
        <f t="shared" si="30"/>
        <v>72494645.030000001</v>
      </c>
      <c r="M111" s="10">
        <f t="shared" si="30"/>
        <v>95350288.340000004</v>
      </c>
      <c r="N111" s="10">
        <f t="shared" si="30"/>
        <v>74699098.340000004</v>
      </c>
      <c r="O111" s="10">
        <f t="shared" si="30"/>
        <v>92952938.269999996</v>
      </c>
      <c r="P111" s="10">
        <f t="shared" si="30"/>
        <v>82357876.220000014</v>
      </c>
      <c r="Q111" s="10">
        <f t="shared" si="30"/>
        <v>97449531.209999979</v>
      </c>
      <c r="R111" s="10">
        <f t="shared" si="30"/>
        <v>74441297.569999993</v>
      </c>
      <c r="S111" s="10">
        <f t="shared" si="30"/>
        <v>96755275.489999995</v>
      </c>
      <c r="T111" s="10">
        <f t="shared" si="30"/>
        <v>74719949.890000001</v>
      </c>
      <c r="U111" s="10">
        <f t="shared" si="30"/>
        <v>97352731.719999984</v>
      </c>
      <c r="V111" s="10">
        <f t="shared" si="30"/>
        <v>74918061.669999987</v>
      </c>
      <c r="W111" s="10">
        <f t="shared" si="30"/>
        <v>103431682.53</v>
      </c>
      <c r="X111" s="10">
        <f t="shared" si="30"/>
        <v>71550048.36999999</v>
      </c>
      <c r="Y111" s="10">
        <f t="shared" si="30"/>
        <v>139512827.16999999</v>
      </c>
      <c r="Z111" s="10">
        <f t="shared" si="30"/>
        <v>116277638.82999998</v>
      </c>
      <c r="AA111" s="20">
        <f t="shared" si="30"/>
        <v>136792938.08000001</v>
      </c>
      <c r="AB111" s="20">
        <f t="shared" si="30"/>
        <v>43344897.469999999</v>
      </c>
      <c r="AC111" s="20">
        <f t="shared" si="30"/>
        <v>211086618.58000001</v>
      </c>
      <c r="AD111" s="20">
        <f t="shared" si="30"/>
        <v>119975047.31999999</v>
      </c>
      <c r="AE111" s="20">
        <f t="shared" ref="AE111:AH111" si="31">AE8+AE51+AE58+AE65+AE72+AE79+AE93+AE100</f>
        <v>128946217.90000001</v>
      </c>
      <c r="AF111" s="20">
        <f t="shared" si="31"/>
        <v>32163242.649999999</v>
      </c>
      <c r="AG111" s="20">
        <f t="shared" si="31"/>
        <v>14429840.109999999</v>
      </c>
      <c r="AH111" s="20">
        <f t="shared" si="31"/>
        <v>0</v>
      </c>
      <c r="AI111" s="76">
        <f>AI8+AI51+AI58+AI65+AI72+AI79+AI93+AI100+AI21+AI27+AI33</f>
        <v>110206071.34</v>
      </c>
      <c r="AJ111" s="76">
        <f>AJ8+AJ51+AJ58+AJ65+AJ72+AJ79+AJ93+AJ100+AJ21+AJ27+AJ33</f>
        <v>26197666.589999996</v>
      </c>
      <c r="AK111" s="76">
        <f>AK8+AK51+AK58+AK65+AK72+AK79+AK93+AK100+AK21+AK27+AK33</f>
        <v>952355</v>
      </c>
      <c r="AL111" s="76">
        <f>AL8+AL51+AL58+AL65+AL72+AL79+AL93+AL100+AL21+AL27+AL33</f>
        <v>571235</v>
      </c>
      <c r="AM111" s="76">
        <f>AM8+AM51+AM58+AM65+AM72+AM79+AM93+AM100+AM21+AM27+AM33+AM39</f>
        <v>80776546.540000007</v>
      </c>
      <c r="AN111" s="76">
        <f>AN8+AN51+AN58+AN65+AN72+AN79+AN93+AN100+AN21+AN27+AN33+AN39+AN15</f>
        <v>35099528.390000001</v>
      </c>
      <c r="AO111" s="76">
        <f>AO8+AO51+AO58+AO65+AO72+AO79+AO93+AO100+AO21+AO27+AO33+AO15+AO39</f>
        <v>0</v>
      </c>
      <c r="AP111" s="76">
        <f>AP8+AP51+AP58+AP65+AP72+AP79+AP93+AP100+AP21+AP27+AP33+AP15+AP39</f>
        <v>0</v>
      </c>
      <c r="AQ111" s="79">
        <f>AQ8+AQ51+AQ58+AQ65+AQ72+AQ79+AQ93+AQ100+AQ21+AQ27+AQ33+AQ39</f>
        <v>101954467.06</v>
      </c>
      <c r="AR111" s="79">
        <f>AR8+AR51+AR58+AR65+AR72+AR79+AR93+AR100+AR21+AR27+AR33+AR39</f>
        <v>58149597.56000001</v>
      </c>
      <c r="AS111" s="79">
        <f>AS8+AS51+AS58+AS65+AS72+AS79+AS93+AS100+AS21+AS27+AS33+AS15+AS39</f>
        <v>7551208.0300000003</v>
      </c>
      <c r="AT111" s="79">
        <f>AT8+AT51+AT58+AT65+AT72+AT79+AT93+AT100+AT21+AT27+AT33+AT15+AT39</f>
        <v>7551208.0300000003</v>
      </c>
      <c r="AU111" s="58">
        <f>AQ111/AM111-1</f>
        <v>0.26217907829858556</v>
      </c>
      <c r="AV111" s="58" t="e">
        <f>AS111/AO111-1</f>
        <v>#DIV/0!</v>
      </c>
      <c r="AW111" s="44"/>
    </row>
    <row r="112" spans="1:49">
      <c r="A112" s="127" t="s">
        <v>10</v>
      </c>
      <c r="B112" s="156"/>
      <c r="C112" s="2">
        <f t="shared" ref="C112:AD116" si="32">C10+C53+C60+C67+C74+C81+C88+C95+C102</f>
        <v>0</v>
      </c>
      <c r="D112" s="2">
        <f t="shared" si="32"/>
        <v>0</v>
      </c>
      <c r="E112" s="2">
        <f t="shared" si="32"/>
        <v>17953226.410000004</v>
      </c>
      <c r="F112" s="2">
        <f t="shared" si="32"/>
        <v>6382951.8399999943</v>
      </c>
      <c r="G112" s="2">
        <f t="shared" si="32"/>
        <v>19216097.170000002</v>
      </c>
      <c r="H112" s="2">
        <f t="shared" si="32"/>
        <v>6555841.7200000007</v>
      </c>
      <c r="I112" s="2">
        <f t="shared" si="32"/>
        <v>22865503.460000001</v>
      </c>
      <c r="J112" s="2">
        <f t="shared" si="32"/>
        <v>5864947.9199999999</v>
      </c>
      <c r="K112" s="2">
        <f t="shared" si="32"/>
        <v>17090632.079999998</v>
      </c>
      <c r="L112" s="2">
        <f t="shared" si="32"/>
        <v>5837825.0099999998</v>
      </c>
      <c r="M112" s="2">
        <f t="shared" si="32"/>
        <v>16099291.18</v>
      </c>
      <c r="N112" s="2">
        <f t="shared" si="32"/>
        <v>7784857.7199999997</v>
      </c>
      <c r="O112" s="2">
        <f t="shared" si="32"/>
        <v>16094244.300000001</v>
      </c>
      <c r="P112" s="2">
        <f t="shared" si="32"/>
        <v>7902977.2199999997</v>
      </c>
      <c r="Q112" s="2">
        <f t="shared" si="32"/>
        <v>20791692.359999999</v>
      </c>
      <c r="R112" s="2">
        <f t="shared" si="32"/>
        <v>7175180.9199999999</v>
      </c>
      <c r="S112" s="2">
        <f t="shared" si="32"/>
        <v>20070445.379999999</v>
      </c>
      <c r="T112" s="2">
        <f t="shared" si="32"/>
        <v>6987489.4900000002</v>
      </c>
      <c r="U112" s="2">
        <f t="shared" si="32"/>
        <v>24410984.270000003</v>
      </c>
      <c r="V112" s="2">
        <f t="shared" si="32"/>
        <v>4182653.4699999997</v>
      </c>
      <c r="W112" s="2">
        <f t="shared" si="32"/>
        <v>34358661.780000001</v>
      </c>
      <c r="X112" s="2">
        <f t="shared" si="32"/>
        <v>4756662.17</v>
      </c>
      <c r="Y112" s="2">
        <f t="shared" si="32"/>
        <v>37550191.880000003</v>
      </c>
      <c r="Z112" s="2">
        <f t="shared" si="32"/>
        <v>19969076.690000001</v>
      </c>
      <c r="AA112" s="16">
        <f t="shared" si="32"/>
        <v>78679277.219999999</v>
      </c>
      <c r="AB112" s="16">
        <f t="shared" si="32"/>
        <v>28544503.479999997</v>
      </c>
      <c r="AC112" s="16">
        <f t="shared" si="32"/>
        <v>97897786.019999981</v>
      </c>
      <c r="AD112" s="16">
        <f t="shared" si="32"/>
        <v>50095879.390000001</v>
      </c>
      <c r="AE112" s="16">
        <f t="shared" ref="AE112:AH116" si="33">AE10+AE53+AE60+AE67+AE74+AE81+AE95+AE102</f>
        <v>59026929.369999997</v>
      </c>
      <c r="AF112" s="16">
        <f t="shared" si="33"/>
        <v>219982.55</v>
      </c>
      <c r="AG112" s="16">
        <f t="shared" si="33"/>
        <v>3777110.1399999997</v>
      </c>
      <c r="AH112" s="16">
        <f t="shared" si="33"/>
        <v>0</v>
      </c>
      <c r="AI112" s="16">
        <f t="shared" ref="AI112:AL116" si="34">AI10+AI53+AI60+AI67+AI74+AI81+AI95+AI102+AI22+AI28+AI34</f>
        <v>48091910.589999996</v>
      </c>
      <c r="AJ112" s="16">
        <f t="shared" si="34"/>
        <v>121925.19</v>
      </c>
      <c r="AK112" s="16">
        <f t="shared" si="34"/>
        <v>571235</v>
      </c>
      <c r="AL112" s="16">
        <f t="shared" si="34"/>
        <v>571235</v>
      </c>
      <c r="AM112" s="16">
        <f>AM10+AM22+AM28+AM34+AM46+AM53+AM60+AM67+AM74+AM81+AM95+AM102+AM40+AM16</f>
        <v>38238020.859999992</v>
      </c>
      <c r="AN112" s="16">
        <f>AN10+AN22+AN28+AN34+AN46+AN53+AN60+AN67+AN74+AN81+AN95+AN102+AN16+AN40</f>
        <v>7778804.1399999997</v>
      </c>
      <c r="AO112" s="16">
        <f>AO10+AO22+AO28+AO34+AO46+AO53+AO60+AO67+AO74+AO81+AO95+AO102+AO16+AO40</f>
        <v>0</v>
      </c>
      <c r="AP112" s="16">
        <f>AP10+AP22+AP28+AP34+AP46+AP53+AP60+AP67+AP74+AP81+AP95+AP102+AP16+AP40</f>
        <v>0</v>
      </c>
      <c r="AQ112" s="23">
        <f>AQ10+AQ22+AQ28+AQ34+AQ46+AQ53+AQ60+AQ67+AQ74+AQ81+AQ95+AQ102+AQ40+AQ16</f>
        <v>43425230</v>
      </c>
      <c r="AR112" s="23">
        <f>AR10+AR22+AR28+AR34+AR46+AR53+AR60+AR67+AR74+AR81+AR95+AR102+AR16+AR40</f>
        <v>16646731.740000002</v>
      </c>
      <c r="AS112" s="23">
        <f>AS10+AS22+AS28+AS34+AS46+AS53+AS60+AS67+AS74+AS81+AS95+AS102+AS16+AS40</f>
        <v>7551208.0300000003</v>
      </c>
      <c r="AT112" s="23">
        <f>AT10+AT22+AT28+AT34+AT46+AT53+AT60+AT67+AT74+AT81+AT95+AT102+AT16+AT40</f>
        <v>7551208.0300000003</v>
      </c>
      <c r="AU112" s="58"/>
      <c r="AV112" s="58"/>
      <c r="AW112" s="44"/>
    </row>
    <row r="113" spans="1:49">
      <c r="A113" s="127" t="s">
        <v>7</v>
      </c>
      <c r="B113" s="156"/>
      <c r="C113" s="2">
        <f t="shared" si="32"/>
        <v>0</v>
      </c>
      <c r="D113" s="2">
        <f t="shared" si="32"/>
        <v>0</v>
      </c>
      <c r="E113" s="2">
        <f t="shared" si="32"/>
        <v>0</v>
      </c>
      <c r="F113" s="2">
        <f t="shared" si="32"/>
        <v>0</v>
      </c>
      <c r="G113" s="2">
        <f t="shared" si="32"/>
        <v>1611249.67</v>
      </c>
      <c r="H113" s="2">
        <f t="shared" si="32"/>
        <v>0</v>
      </c>
      <c r="I113" s="2">
        <f t="shared" si="32"/>
        <v>1404831.87</v>
      </c>
      <c r="J113" s="2">
        <f t="shared" si="32"/>
        <v>0</v>
      </c>
      <c r="K113" s="2">
        <f t="shared" si="32"/>
        <v>2089553.3599999999</v>
      </c>
      <c r="L113" s="2">
        <f t="shared" si="32"/>
        <v>0</v>
      </c>
      <c r="M113" s="2">
        <f t="shared" si="32"/>
        <v>1291836.76</v>
      </c>
      <c r="N113" s="2">
        <f t="shared" si="32"/>
        <v>0</v>
      </c>
      <c r="O113" s="2">
        <f t="shared" si="32"/>
        <v>1343049.24</v>
      </c>
      <c r="P113" s="2">
        <f t="shared" si="32"/>
        <v>0</v>
      </c>
      <c r="Q113" s="2">
        <f t="shared" si="32"/>
        <v>1452525.99</v>
      </c>
      <c r="R113" s="2">
        <f t="shared" si="32"/>
        <v>0</v>
      </c>
      <c r="S113" s="2">
        <f t="shared" si="32"/>
        <v>1242140.78</v>
      </c>
      <c r="T113" s="2">
        <f t="shared" si="32"/>
        <v>0</v>
      </c>
      <c r="U113" s="2">
        <f t="shared" si="32"/>
        <v>1196585.6499999999</v>
      </c>
      <c r="V113" s="2">
        <f t="shared" si="32"/>
        <v>0</v>
      </c>
      <c r="W113" s="2">
        <f t="shared" si="32"/>
        <v>1283435.7</v>
      </c>
      <c r="X113" s="2">
        <f t="shared" si="32"/>
        <v>0</v>
      </c>
      <c r="Y113" s="2">
        <f t="shared" si="32"/>
        <v>0</v>
      </c>
      <c r="Z113" s="2">
        <f t="shared" si="32"/>
        <v>0</v>
      </c>
      <c r="AA113" s="16">
        <f t="shared" si="32"/>
        <v>28007459.789999999</v>
      </c>
      <c r="AB113" s="16">
        <f t="shared" si="32"/>
        <v>0</v>
      </c>
      <c r="AC113" s="16">
        <f t="shared" si="32"/>
        <v>33425614.419999998</v>
      </c>
      <c r="AD113" s="16">
        <f t="shared" si="32"/>
        <v>0</v>
      </c>
      <c r="AE113" s="16">
        <f t="shared" si="33"/>
        <v>36363970.560000002</v>
      </c>
      <c r="AF113" s="16">
        <f t="shared" si="33"/>
        <v>19065790.949999999</v>
      </c>
      <c r="AG113" s="16">
        <f t="shared" si="33"/>
        <v>0</v>
      </c>
      <c r="AH113" s="16">
        <f t="shared" si="33"/>
        <v>0</v>
      </c>
      <c r="AI113" s="16">
        <f t="shared" si="34"/>
        <v>34163653.079999998</v>
      </c>
      <c r="AJ113" s="16">
        <f t="shared" si="34"/>
        <v>16127711.879999999</v>
      </c>
      <c r="AK113" s="16">
        <f t="shared" si="34"/>
        <v>0</v>
      </c>
      <c r="AL113" s="16">
        <f t="shared" si="34"/>
        <v>0</v>
      </c>
      <c r="AM113" s="16">
        <f>AM11+AM23+AM29+AM35+AM47+AM54+AM61+AM68+AM75+AM82+AM96+AM103+AM17+AM41</f>
        <v>29409576.669999994</v>
      </c>
      <c r="AN113" s="16">
        <f>AN11+AN23+AN29+AN35+AN47+AN54+AN61+AN68+AN75+AN82+AN96+AN103+AN17+AN41</f>
        <v>18402119.850000001</v>
      </c>
      <c r="AO113" s="16">
        <f>AO11+AO23+AO29+AO35+AO47+AO54+AO61+AO68+AO75+AO82+AO96+AO103+AO17+AO41</f>
        <v>0</v>
      </c>
      <c r="AP113" s="16">
        <f>AP11+AP23+AP29+AP35+AP47+AP54+AP61+AP68+AP75+AP82+AP96+AP103+AP17+AP40</f>
        <v>0</v>
      </c>
      <c r="AQ113" s="23">
        <f>AQ11+AQ23+AQ29+AQ35+AQ47+AQ54+AQ61+AQ68+AQ75+AQ82+AQ96+AQ103+AQ17+AQ41</f>
        <v>31213476.329999998</v>
      </c>
      <c r="AR113" s="23">
        <f>AR11+AR23+AR29+AR35+AR47+AR54+AR61+AR68+AR75+AR82+AR96+AR103+AR17+AR41</f>
        <v>20425025.73</v>
      </c>
      <c r="AS113" s="23">
        <f>AS11+AS23+AS29+AS35+AS47+AS54+AS61+AS68+AS75+AS82+AS96+AS103+AS17+AS41</f>
        <v>0</v>
      </c>
      <c r="AT113" s="23">
        <f>AT11+AT23+AT29+AT35+AT47+AT54+AT61+AT68+AT75+AT82+AT96+AT103+AT17+AT40</f>
        <v>0</v>
      </c>
      <c r="AU113" s="58"/>
      <c r="AV113" s="58"/>
      <c r="AW113" s="44"/>
    </row>
    <row r="114" spans="1:49">
      <c r="A114" s="127" t="s">
        <v>8</v>
      </c>
      <c r="B114" s="156"/>
      <c r="C114" s="2">
        <f t="shared" si="32"/>
        <v>0</v>
      </c>
      <c r="D114" s="2">
        <f t="shared" si="32"/>
        <v>0</v>
      </c>
      <c r="E114" s="2">
        <f t="shared" si="32"/>
        <v>5781112.8999999994</v>
      </c>
      <c r="F114" s="2">
        <f t="shared" si="32"/>
        <v>0</v>
      </c>
      <c r="G114" s="2">
        <f t="shared" si="32"/>
        <v>841993.46</v>
      </c>
      <c r="H114" s="2">
        <f t="shared" si="32"/>
        <v>0</v>
      </c>
      <c r="I114" s="2">
        <f t="shared" si="32"/>
        <v>730672.66</v>
      </c>
      <c r="J114" s="2">
        <f t="shared" si="32"/>
        <v>0</v>
      </c>
      <c r="K114" s="2">
        <f t="shared" si="32"/>
        <v>907890.05999999994</v>
      </c>
      <c r="L114" s="2">
        <f t="shared" si="32"/>
        <v>0</v>
      </c>
      <c r="M114" s="2">
        <f t="shared" si="32"/>
        <v>596611.02</v>
      </c>
      <c r="N114" s="2">
        <f t="shared" si="32"/>
        <v>0</v>
      </c>
      <c r="O114" s="2">
        <f t="shared" si="32"/>
        <v>806056.14</v>
      </c>
      <c r="P114" s="2">
        <f t="shared" si="32"/>
        <v>0</v>
      </c>
      <c r="Q114" s="2">
        <f t="shared" si="32"/>
        <v>910579.46000000008</v>
      </c>
      <c r="R114" s="2">
        <f t="shared" si="32"/>
        <v>0</v>
      </c>
      <c r="S114" s="2">
        <f t="shared" si="32"/>
        <v>832315.84</v>
      </c>
      <c r="T114" s="2">
        <f t="shared" si="32"/>
        <v>0</v>
      </c>
      <c r="U114" s="2">
        <f t="shared" si="32"/>
        <v>786043.03</v>
      </c>
      <c r="V114" s="2">
        <f t="shared" si="32"/>
        <v>0</v>
      </c>
      <c r="W114" s="2">
        <f t="shared" si="32"/>
        <v>782576.37000000011</v>
      </c>
      <c r="X114" s="2">
        <f t="shared" si="32"/>
        <v>0</v>
      </c>
      <c r="Y114" s="2">
        <f t="shared" si="32"/>
        <v>4770499.5100000007</v>
      </c>
      <c r="Z114" s="2">
        <f t="shared" si="32"/>
        <v>0</v>
      </c>
      <c r="AA114" s="16">
        <f t="shared" si="32"/>
        <v>11517101.640000001</v>
      </c>
      <c r="AB114" s="16">
        <f t="shared" si="32"/>
        <v>0</v>
      </c>
      <c r="AC114" s="16">
        <f t="shared" si="32"/>
        <v>17884307.940000001</v>
      </c>
      <c r="AD114" s="16">
        <f t="shared" si="32"/>
        <v>11291466.59</v>
      </c>
      <c r="AE114" s="16">
        <f t="shared" si="33"/>
        <v>19682269.09</v>
      </c>
      <c r="AF114" s="16">
        <f t="shared" si="33"/>
        <v>9924703.2199999988</v>
      </c>
      <c r="AG114" s="16">
        <f t="shared" si="33"/>
        <v>0</v>
      </c>
      <c r="AH114" s="16">
        <f t="shared" si="33"/>
        <v>0</v>
      </c>
      <c r="AI114" s="16">
        <f t="shared" si="34"/>
        <v>19422993.020000003</v>
      </c>
      <c r="AJ114" s="16">
        <f t="shared" si="34"/>
        <v>9100808</v>
      </c>
      <c r="AK114" s="16">
        <f t="shared" si="34"/>
        <v>0</v>
      </c>
      <c r="AL114" s="16">
        <f t="shared" si="34"/>
        <v>0</v>
      </c>
      <c r="AM114" s="16">
        <f>AM12+AM24+AM30+AM36+AM48+AM55+AM62+AM69+AM76+AM83+AM97+AM104+AM18+AM42</f>
        <v>12055886.539999999</v>
      </c>
      <c r="AN114" s="16">
        <f>AN12+AN24+AN30+AN36+AN48+AN55+AN62+AN69+AN76+AN83+AN97+AN104+AO18+AN42</f>
        <v>7725839.5099999998</v>
      </c>
      <c r="AO114" s="16">
        <f t="shared" ref="AO114:AP116" si="35">AO12+AO24+AO30+AO36+AO48+AO55+AO62+AO69+AO76+AO83+AO97+AO104+AO18+AO42</f>
        <v>0</v>
      </c>
      <c r="AP114" s="16">
        <f t="shared" si="35"/>
        <v>0</v>
      </c>
      <c r="AQ114" s="23">
        <f>AQ12+AQ24+AQ30+AQ36+AQ48+AQ55+AQ62+AQ69+AQ76+AQ83+AQ97+AQ104+AQ18+AQ42</f>
        <v>18389854.399999999</v>
      </c>
      <c r="AR114" s="23">
        <f>AR12+AR24+AR30+AR36+AR48+AR55+AR62+AR69+AR76+AR83+AR97+AR104+AS18+AR42</f>
        <v>12519635.779999999</v>
      </c>
      <c r="AS114" s="23">
        <f t="shared" ref="AS114:AT116" si="36">AS12+AS24+AS30+AS36+AS48+AS55+AS62+AS69+AS76+AS83+AS97+AS104+AS18+AS42</f>
        <v>0</v>
      </c>
      <c r="AT114" s="23">
        <f t="shared" si="36"/>
        <v>0</v>
      </c>
      <c r="AU114" s="58"/>
      <c r="AV114" s="58"/>
      <c r="AW114" s="44"/>
    </row>
    <row r="115" spans="1:49">
      <c r="A115" s="127" t="s">
        <v>9</v>
      </c>
      <c r="B115" s="156"/>
      <c r="C115" s="2">
        <f t="shared" ref="C115:Z115" si="37">C13+C56+C63+C70+C77+C84+C91+C98+C105+C108</f>
        <v>0</v>
      </c>
      <c r="D115" s="2">
        <f t="shared" si="37"/>
        <v>0</v>
      </c>
      <c r="E115" s="2">
        <f t="shared" si="37"/>
        <v>60461371.310000002</v>
      </c>
      <c r="F115" s="2">
        <f t="shared" si="37"/>
        <v>58245420.57</v>
      </c>
      <c r="G115" s="2">
        <f t="shared" si="37"/>
        <v>69929562.310000002</v>
      </c>
      <c r="H115" s="2">
        <f t="shared" si="37"/>
        <v>58525671.140000001</v>
      </c>
      <c r="I115" s="2">
        <f t="shared" si="37"/>
        <v>65526882.990000002</v>
      </c>
      <c r="J115" s="2">
        <f t="shared" si="37"/>
        <v>61624312.380000003</v>
      </c>
      <c r="K115" s="2">
        <f t="shared" si="37"/>
        <v>71721506.659999996</v>
      </c>
      <c r="L115" s="2">
        <f t="shared" si="37"/>
        <v>64774384.220000006</v>
      </c>
      <c r="M115" s="2">
        <f t="shared" si="37"/>
        <v>75480113.579999998</v>
      </c>
      <c r="N115" s="2">
        <f t="shared" si="37"/>
        <v>65031804.82</v>
      </c>
      <c r="O115" s="2">
        <f t="shared" si="37"/>
        <v>72791361.200000003</v>
      </c>
      <c r="P115" s="2">
        <f t="shared" si="37"/>
        <v>72572463.200000003</v>
      </c>
      <c r="Q115" s="2">
        <f t="shared" si="37"/>
        <v>72380297.609999999</v>
      </c>
      <c r="R115" s="2">
        <f t="shared" si="37"/>
        <v>65383680.850000001</v>
      </c>
      <c r="S115" s="2">
        <f t="shared" si="37"/>
        <v>72695876.399999991</v>
      </c>
      <c r="T115" s="2">
        <f t="shared" si="37"/>
        <v>65850024.600000001</v>
      </c>
      <c r="U115" s="2">
        <f t="shared" si="37"/>
        <v>69041659.049999997</v>
      </c>
      <c r="V115" s="2">
        <f t="shared" si="37"/>
        <v>68852972.399999991</v>
      </c>
      <c r="W115" s="2">
        <f t="shared" si="37"/>
        <v>65102023.400000006</v>
      </c>
      <c r="X115" s="2">
        <f t="shared" si="37"/>
        <v>64910950.400000006</v>
      </c>
      <c r="Y115" s="2">
        <f t="shared" si="37"/>
        <v>66208215.299999997</v>
      </c>
      <c r="Z115" s="2">
        <f t="shared" si="37"/>
        <v>65394874.099999994</v>
      </c>
      <c r="AA115" s="16">
        <f t="shared" si="32"/>
        <v>14182522.93</v>
      </c>
      <c r="AB115" s="16">
        <f t="shared" si="32"/>
        <v>12430432.640000001</v>
      </c>
      <c r="AC115" s="16">
        <f t="shared" si="32"/>
        <v>21526116.329999998</v>
      </c>
      <c r="AD115" s="16">
        <f t="shared" si="32"/>
        <v>20453326.48</v>
      </c>
      <c r="AE115" s="16">
        <f t="shared" si="33"/>
        <v>6002746.2800000012</v>
      </c>
      <c r="AF115" s="16">
        <f t="shared" si="33"/>
        <v>92285.57</v>
      </c>
      <c r="AG115" s="16">
        <f t="shared" si="33"/>
        <v>5647572.7300000004</v>
      </c>
      <c r="AH115" s="16">
        <f t="shared" si="33"/>
        <v>0</v>
      </c>
      <c r="AI115" s="16">
        <f t="shared" si="34"/>
        <v>500646.57</v>
      </c>
      <c r="AJ115" s="16">
        <f t="shared" si="34"/>
        <v>0</v>
      </c>
      <c r="AK115" s="16">
        <f t="shared" si="34"/>
        <v>381120</v>
      </c>
      <c r="AL115" s="16">
        <f t="shared" si="34"/>
        <v>0</v>
      </c>
      <c r="AM115" s="16">
        <f>AM13+AM25+AM31+AM37+AM49+AM56+AM63+AM70+AM77+AM84+AM98+AM105+AM19+AM43</f>
        <v>101526.20999999999</v>
      </c>
      <c r="AN115" s="16">
        <f>AN13+AN25+AN31+AN37+AN49+AN56+AN63+AN70+AN77+AN84+AN98+AN105+AN19+AN43</f>
        <v>64281.21</v>
      </c>
      <c r="AO115" s="16">
        <f t="shared" si="35"/>
        <v>0</v>
      </c>
      <c r="AP115" s="16">
        <f t="shared" si="35"/>
        <v>0</v>
      </c>
      <c r="AQ115" s="23">
        <f>AQ13+AQ25+AQ31+AQ37+AQ49+AQ56+AQ63+AQ70+AQ77+AQ84+AQ98+AQ105+AQ19+AQ43</f>
        <v>0</v>
      </c>
      <c r="AR115" s="23">
        <f>AR13+AR25+AR31+AR37+AR49+AR56+AR63+AR70+AR77+AR84+AR98+AR105+AR19+AR43</f>
        <v>0</v>
      </c>
      <c r="AS115" s="23">
        <f t="shared" si="36"/>
        <v>0</v>
      </c>
      <c r="AT115" s="23">
        <f t="shared" si="36"/>
        <v>0</v>
      </c>
      <c r="AU115" s="58"/>
      <c r="AV115" s="58"/>
      <c r="AW115" s="44"/>
    </row>
    <row r="116" spans="1:49">
      <c r="A116" s="127" t="s">
        <v>14</v>
      </c>
      <c r="B116" s="156"/>
      <c r="C116" s="2">
        <f t="shared" ref="C116:Z116" si="38">C14+C57+C64+C71+C78+C85+C92+C99+C106</f>
        <v>0</v>
      </c>
      <c r="D116" s="2">
        <f t="shared" si="38"/>
        <v>0</v>
      </c>
      <c r="E116" s="2">
        <f t="shared" si="38"/>
        <v>1669019.14</v>
      </c>
      <c r="F116" s="2">
        <f t="shared" si="38"/>
        <v>1882435.7999999998</v>
      </c>
      <c r="G116" s="2">
        <f t="shared" si="38"/>
        <v>1912163.48</v>
      </c>
      <c r="H116" s="2">
        <f t="shared" si="38"/>
        <v>1882435.8</v>
      </c>
      <c r="I116" s="2">
        <f t="shared" si="38"/>
        <v>1912257.9000000001</v>
      </c>
      <c r="J116" s="2">
        <f t="shared" si="38"/>
        <v>1882435.8</v>
      </c>
      <c r="K116" s="2">
        <f t="shared" si="38"/>
        <v>1882435.8</v>
      </c>
      <c r="L116" s="2">
        <f t="shared" si="38"/>
        <v>1882435.8</v>
      </c>
      <c r="M116" s="2">
        <f t="shared" si="38"/>
        <v>1882435.8</v>
      </c>
      <c r="N116" s="2">
        <f t="shared" si="38"/>
        <v>1882435.8</v>
      </c>
      <c r="O116" s="2">
        <f t="shared" si="38"/>
        <v>1918227.3900000001</v>
      </c>
      <c r="P116" s="2">
        <f t="shared" si="38"/>
        <v>1882435.8</v>
      </c>
      <c r="Q116" s="2">
        <f t="shared" si="38"/>
        <v>1914435.79</v>
      </c>
      <c r="R116" s="2">
        <f t="shared" si="38"/>
        <v>1882435.8</v>
      </c>
      <c r="S116" s="2">
        <f t="shared" si="38"/>
        <v>1914497.09</v>
      </c>
      <c r="T116" s="2">
        <f t="shared" si="38"/>
        <v>1882435.8</v>
      </c>
      <c r="U116" s="2">
        <f t="shared" si="38"/>
        <v>1917459.72</v>
      </c>
      <c r="V116" s="2">
        <f t="shared" si="38"/>
        <v>1882435.8</v>
      </c>
      <c r="W116" s="2">
        <f t="shared" si="38"/>
        <v>1904985.28</v>
      </c>
      <c r="X116" s="2">
        <f t="shared" si="38"/>
        <v>1882435.8</v>
      </c>
      <c r="Y116" s="2">
        <f t="shared" si="38"/>
        <v>30983920.480000004</v>
      </c>
      <c r="Z116" s="2">
        <f t="shared" si="38"/>
        <v>30913688.039999999</v>
      </c>
      <c r="AA116" s="16">
        <f t="shared" si="32"/>
        <v>4406576.5</v>
      </c>
      <c r="AB116" s="16">
        <f t="shared" si="32"/>
        <v>2369961.35</v>
      </c>
      <c r="AC116" s="16">
        <f t="shared" si="32"/>
        <v>40352793.869999997</v>
      </c>
      <c r="AD116" s="16">
        <f t="shared" si="32"/>
        <v>38134374.859999999</v>
      </c>
      <c r="AE116" s="16">
        <f t="shared" si="33"/>
        <v>7870302.5999999996</v>
      </c>
      <c r="AF116" s="16">
        <f t="shared" si="33"/>
        <v>2860480.3600000003</v>
      </c>
      <c r="AG116" s="16">
        <f t="shared" si="33"/>
        <v>5005157.24</v>
      </c>
      <c r="AH116" s="16">
        <f t="shared" si="33"/>
        <v>0</v>
      </c>
      <c r="AI116" s="16">
        <f t="shared" si="34"/>
        <v>8026868.0799999991</v>
      </c>
      <c r="AJ116" s="16">
        <f t="shared" si="34"/>
        <v>847221.52</v>
      </c>
      <c r="AK116" s="16">
        <f t="shared" si="34"/>
        <v>0</v>
      </c>
      <c r="AL116" s="16">
        <f t="shared" si="34"/>
        <v>0</v>
      </c>
      <c r="AM116" s="16">
        <f>AM14+AM26+AM32+AM38+AM50+AM57+AM64+AM71+AM78+AM85+AM99+AM106+AM20+AM44</f>
        <v>1324931.1499999999</v>
      </c>
      <c r="AN116" s="16">
        <f>AN14+AN26+AN32+AN38+AN50+AN57+AN64+AN71+AN78+AN85+AN99+AN106+AN20+AN44</f>
        <v>1128483.68</v>
      </c>
      <c r="AO116" s="16">
        <f t="shared" si="35"/>
        <v>0</v>
      </c>
      <c r="AP116" s="16">
        <f t="shared" si="35"/>
        <v>0</v>
      </c>
      <c r="AQ116" s="23">
        <f>AQ14+AQ26+AQ32+AQ38+AQ50+AQ57+AQ64+AQ71+AQ78+AQ85+AQ99+AQ106+AQ20+AQ44</f>
        <v>9043007.5099999998</v>
      </c>
      <c r="AR116" s="23">
        <f>AR14+AR26+AR32+AR38+AR50+AR57+AR64+AR71+AR78+AR85+AR99+AR106+AR20+AR44</f>
        <v>8558204.3100000005</v>
      </c>
      <c r="AS116" s="23">
        <f t="shared" si="36"/>
        <v>0</v>
      </c>
      <c r="AT116" s="23">
        <f t="shared" si="36"/>
        <v>0</v>
      </c>
      <c r="AU116" s="58"/>
      <c r="AV116" s="58"/>
      <c r="AW116" s="44"/>
    </row>
    <row r="117" spans="1:49">
      <c r="A117" s="157" t="s">
        <v>17</v>
      </c>
      <c r="B117" s="156"/>
      <c r="C117" s="3">
        <v>19700824</v>
      </c>
      <c r="D117" s="3"/>
      <c r="E117" s="3">
        <v>30646350</v>
      </c>
      <c r="F117" s="3"/>
      <c r="G117" s="3">
        <v>30646350</v>
      </c>
      <c r="H117" s="3"/>
      <c r="I117" s="3">
        <v>30646350</v>
      </c>
      <c r="J117" s="3"/>
      <c r="K117" s="3">
        <v>30646350</v>
      </c>
      <c r="L117" s="3"/>
      <c r="M117" s="3">
        <v>30646350</v>
      </c>
      <c r="N117" s="3"/>
      <c r="O117" s="3">
        <v>30646350</v>
      </c>
      <c r="P117" s="3"/>
      <c r="Q117" s="3">
        <v>30646350</v>
      </c>
      <c r="R117" s="3"/>
      <c r="S117" s="3">
        <v>39646350</v>
      </c>
      <c r="T117" s="3"/>
      <c r="U117" s="3">
        <v>39646350</v>
      </c>
      <c r="V117" s="3"/>
      <c r="W117" s="3">
        <v>39646350</v>
      </c>
      <c r="X117" s="3"/>
      <c r="Y117" s="3">
        <v>39592849</v>
      </c>
      <c r="Z117" s="3"/>
      <c r="AA117" s="22">
        <v>43884741</v>
      </c>
      <c r="AB117" s="18"/>
      <c r="AC117" s="22">
        <v>38729175</v>
      </c>
      <c r="AD117" s="18"/>
      <c r="AE117" s="22">
        <v>1250000</v>
      </c>
      <c r="AF117" s="22"/>
      <c r="AG117" s="22"/>
      <c r="AH117" s="22"/>
      <c r="AI117" s="22">
        <v>0</v>
      </c>
      <c r="AJ117" s="22"/>
      <c r="AK117" s="22"/>
      <c r="AL117" s="22"/>
      <c r="AM117" s="22">
        <v>20316355.16</v>
      </c>
      <c r="AN117" s="22"/>
      <c r="AO117" s="22"/>
      <c r="AP117" s="22"/>
      <c r="AQ117" s="3">
        <v>15400000</v>
      </c>
      <c r="AR117" s="3"/>
      <c r="AS117" s="3"/>
      <c r="AT117" s="3"/>
      <c r="AU117" s="58"/>
      <c r="AV117" s="58"/>
      <c r="AW117" s="44"/>
    </row>
    <row r="118" spans="1:49">
      <c r="A118" s="157" t="s">
        <v>18</v>
      </c>
      <c r="B118" s="156"/>
      <c r="C118" s="3">
        <f t="shared" ref="C118:AA118" si="39">C111+C117</f>
        <v>114288501.81999999</v>
      </c>
      <c r="D118" s="3">
        <f t="shared" si="39"/>
        <v>68008770.719999999</v>
      </c>
      <c r="E118" s="3">
        <f t="shared" si="39"/>
        <v>116511079.75999999</v>
      </c>
      <c r="F118" s="3">
        <f t="shared" si="39"/>
        <v>66510808.209999993</v>
      </c>
      <c r="G118" s="3">
        <f t="shared" si="39"/>
        <v>124157416.09000002</v>
      </c>
      <c r="H118" s="3">
        <f t="shared" si="39"/>
        <v>66963948.660000004</v>
      </c>
      <c r="I118" s="3">
        <f t="shared" si="39"/>
        <v>123086498.88000001</v>
      </c>
      <c r="J118" s="3">
        <f t="shared" si="39"/>
        <v>69371696.100000009</v>
      </c>
      <c r="K118" s="3">
        <f t="shared" si="39"/>
        <v>124338367.95999999</v>
      </c>
      <c r="L118" s="3">
        <f t="shared" si="39"/>
        <v>72494645.030000001</v>
      </c>
      <c r="M118" s="3">
        <f t="shared" si="39"/>
        <v>125996638.34</v>
      </c>
      <c r="N118" s="3">
        <f t="shared" si="39"/>
        <v>74699098.340000004</v>
      </c>
      <c r="O118" s="3">
        <f t="shared" si="39"/>
        <v>123599288.27</v>
      </c>
      <c r="P118" s="3">
        <f t="shared" si="39"/>
        <v>82357876.220000014</v>
      </c>
      <c r="Q118" s="3">
        <f t="shared" si="39"/>
        <v>128095881.20999998</v>
      </c>
      <c r="R118" s="3">
        <f t="shared" si="39"/>
        <v>74441297.569999993</v>
      </c>
      <c r="S118" s="3">
        <f t="shared" si="39"/>
        <v>136401625.49000001</v>
      </c>
      <c r="T118" s="3">
        <f t="shared" si="39"/>
        <v>74719949.890000001</v>
      </c>
      <c r="U118" s="3">
        <f t="shared" si="39"/>
        <v>136999081.71999997</v>
      </c>
      <c r="V118" s="3">
        <f t="shared" si="39"/>
        <v>74918061.669999987</v>
      </c>
      <c r="W118" s="3">
        <f t="shared" si="39"/>
        <v>143078032.53</v>
      </c>
      <c r="X118" s="3">
        <f t="shared" si="39"/>
        <v>71550048.36999999</v>
      </c>
      <c r="Y118" s="3">
        <f t="shared" si="39"/>
        <v>179105676.16999999</v>
      </c>
      <c r="Z118" s="3">
        <f t="shared" si="39"/>
        <v>116277638.82999998</v>
      </c>
      <c r="AA118" s="22">
        <f t="shared" si="39"/>
        <v>180677679.08000001</v>
      </c>
      <c r="AB118" s="22">
        <f>AB111+AB117</f>
        <v>43344897.469999999</v>
      </c>
      <c r="AC118" s="22">
        <f t="shared" ref="AC118:AT118" si="40">AC111+AC117</f>
        <v>249815793.58000001</v>
      </c>
      <c r="AD118" s="22">
        <f t="shared" si="40"/>
        <v>119975047.31999999</v>
      </c>
      <c r="AE118" s="22">
        <f t="shared" si="40"/>
        <v>130196217.90000001</v>
      </c>
      <c r="AF118" s="22">
        <f t="shared" si="40"/>
        <v>32163242.649999999</v>
      </c>
      <c r="AG118" s="22">
        <f t="shared" si="40"/>
        <v>14429840.109999999</v>
      </c>
      <c r="AH118" s="22">
        <f t="shared" si="40"/>
        <v>0</v>
      </c>
      <c r="AI118" s="22">
        <f t="shared" si="40"/>
        <v>110206071.34</v>
      </c>
      <c r="AJ118" s="22">
        <f t="shared" si="40"/>
        <v>26197666.589999996</v>
      </c>
      <c r="AK118" s="22">
        <f t="shared" si="40"/>
        <v>952355</v>
      </c>
      <c r="AL118" s="22">
        <f t="shared" si="40"/>
        <v>571235</v>
      </c>
      <c r="AM118" s="22">
        <f t="shared" si="40"/>
        <v>101092901.7</v>
      </c>
      <c r="AN118" s="22">
        <f t="shared" si="40"/>
        <v>35099528.390000001</v>
      </c>
      <c r="AO118" s="22">
        <f t="shared" si="40"/>
        <v>0</v>
      </c>
      <c r="AP118" s="22">
        <f t="shared" si="40"/>
        <v>0</v>
      </c>
      <c r="AQ118" s="3">
        <f t="shared" si="40"/>
        <v>117354467.06</v>
      </c>
      <c r="AR118" s="3">
        <f t="shared" si="40"/>
        <v>58149597.56000001</v>
      </c>
      <c r="AS118" s="3">
        <f t="shared" si="40"/>
        <v>7551208.0300000003</v>
      </c>
      <c r="AT118" s="3">
        <f t="shared" si="40"/>
        <v>7551208.0300000003</v>
      </c>
      <c r="AU118" s="58">
        <f>AQ118/AM118-1</f>
        <v>0.16085763774253192</v>
      </c>
      <c r="AV118" s="58" t="e">
        <f>AS118/AO118-1</f>
        <v>#DIV/0!</v>
      </c>
      <c r="AW118" s="44"/>
    </row>
    <row r="119" spans="1:49">
      <c r="A119" s="127" t="s">
        <v>19</v>
      </c>
      <c r="B119" s="156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15"/>
      <c r="AB119" s="15"/>
      <c r="AC119" s="15"/>
      <c r="AD119" s="15"/>
      <c r="AE119" s="15"/>
      <c r="AF119" s="15"/>
      <c r="AG119" s="15"/>
      <c r="AH119" s="15"/>
      <c r="AI119" s="21"/>
      <c r="AJ119" s="21"/>
      <c r="AK119" s="21"/>
      <c r="AL119" s="21"/>
      <c r="AM119" s="21"/>
      <c r="AN119" s="21"/>
      <c r="AO119" s="21"/>
      <c r="AP119" s="21"/>
      <c r="AQ119" s="92"/>
      <c r="AR119" s="92"/>
      <c r="AS119" s="92"/>
      <c r="AT119" s="92"/>
      <c r="AU119" s="92"/>
      <c r="AV119" s="92"/>
    </row>
    <row r="120" spans="1:49">
      <c r="A120" s="127" t="s">
        <v>24</v>
      </c>
      <c r="B120" s="156"/>
      <c r="C120" s="4">
        <v>102575991</v>
      </c>
      <c r="D120" s="4">
        <v>63430848.460000001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92"/>
      <c r="AR120" s="92"/>
      <c r="AS120" s="92"/>
      <c r="AT120" s="92"/>
      <c r="AU120" s="92"/>
      <c r="AV120" s="92"/>
    </row>
    <row r="121" spans="1:49">
      <c r="A121" s="127" t="s">
        <v>23</v>
      </c>
      <c r="B121" s="156"/>
      <c r="C121" s="4">
        <f>C118-C120</f>
        <v>11712510.819999993</v>
      </c>
      <c r="D121" s="4">
        <f>D118-D120</f>
        <v>4577922.2599999979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92"/>
      <c r="AR121" s="92"/>
      <c r="AS121" s="92"/>
      <c r="AT121" s="92"/>
      <c r="AU121" s="92"/>
      <c r="AV121" s="92"/>
    </row>
    <row r="122" spans="1:49">
      <c r="A122" s="127" t="s">
        <v>37</v>
      </c>
      <c r="B122" s="156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21">
        <v>2369961.35</v>
      </c>
      <c r="AB122" s="21">
        <v>2369961.35</v>
      </c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92"/>
      <c r="AR122" s="92"/>
      <c r="AS122" s="92"/>
      <c r="AT122" s="92"/>
      <c r="AU122" s="92"/>
      <c r="AV122" s="92"/>
    </row>
    <row r="123" spans="1:49"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</row>
    <row r="124" spans="1:49"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</row>
    <row r="125" spans="1:49"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</row>
    <row r="126" spans="1:49"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</row>
    <row r="127" spans="1:49"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</row>
    <row r="128" spans="1:49"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</row>
    <row r="129" spans="35:48"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</row>
    <row r="130" spans="35:48"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</row>
    <row r="131" spans="35:48"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</row>
    <row r="132" spans="35:48"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</row>
  </sheetData>
  <mergeCells count="517">
    <mergeCell ref="A118:B118"/>
    <mergeCell ref="A119:B119"/>
    <mergeCell ref="A120:B120"/>
    <mergeCell ref="A121:B121"/>
    <mergeCell ref="A122:B122"/>
    <mergeCell ref="A112:B112"/>
    <mergeCell ref="A113:B113"/>
    <mergeCell ref="A114:B114"/>
    <mergeCell ref="A115:B115"/>
    <mergeCell ref="A116:B116"/>
    <mergeCell ref="A117:B117"/>
    <mergeCell ref="A106:B106"/>
    <mergeCell ref="AU107:AU108"/>
    <mergeCell ref="AV107:AV108"/>
    <mergeCell ref="A108:B108"/>
    <mergeCell ref="A109:B109"/>
    <mergeCell ref="A111:B111"/>
    <mergeCell ref="AU100:AU101"/>
    <mergeCell ref="AV100:AV101"/>
    <mergeCell ref="A102:B102"/>
    <mergeCell ref="A103:B103"/>
    <mergeCell ref="A104:B104"/>
    <mergeCell ref="A105:B105"/>
    <mergeCell ref="AO100:AO101"/>
    <mergeCell ref="AP100:AP101"/>
    <mergeCell ref="AQ100:AQ101"/>
    <mergeCell ref="AR100:AR101"/>
    <mergeCell ref="AS100:AS101"/>
    <mergeCell ref="AT100:AT101"/>
    <mergeCell ref="AI100:AI101"/>
    <mergeCell ref="AJ100:AJ101"/>
    <mergeCell ref="AK100:AK101"/>
    <mergeCell ref="AL100:AL101"/>
    <mergeCell ref="AM100:AM101"/>
    <mergeCell ref="AN100:AN101"/>
    <mergeCell ref="AC100:AC101"/>
    <mergeCell ref="AD100:AD101"/>
    <mergeCell ref="AE100:AE101"/>
    <mergeCell ref="AF100:AF101"/>
    <mergeCell ref="AG100:AG101"/>
    <mergeCell ref="AH100:AH101"/>
    <mergeCell ref="W100:W101"/>
    <mergeCell ref="X100:X101"/>
    <mergeCell ref="Y100:Y101"/>
    <mergeCell ref="Z100:Z101"/>
    <mergeCell ref="AA100:AA101"/>
    <mergeCell ref="AB100:AB101"/>
    <mergeCell ref="Q100:Q101"/>
    <mergeCell ref="R100:R101"/>
    <mergeCell ref="S100:S101"/>
    <mergeCell ref="T100:T101"/>
    <mergeCell ref="U100:U101"/>
    <mergeCell ref="V100:V101"/>
    <mergeCell ref="K100:K101"/>
    <mergeCell ref="L100:L101"/>
    <mergeCell ref="M100:M101"/>
    <mergeCell ref="N100:N101"/>
    <mergeCell ref="O100:O101"/>
    <mergeCell ref="P100:P101"/>
    <mergeCell ref="E100:E101"/>
    <mergeCell ref="F100:F101"/>
    <mergeCell ref="G100:G101"/>
    <mergeCell ref="H100:H101"/>
    <mergeCell ref="I100:I101"/>
    <mergeCell ref="J100:J101"/>
    <mergeCell ref="A97:B97"/>
    <mergeCell ref="A98:B98"/>
    <mergeCell ref="A99:B99"/>
    <mergeCell ref="A100:B101"/>
    <mergeCell ref="C100:C101"/>
    <mergeCell ref="D100:D101"/>
    <mergeCell ref="AO93:AO94"/>
    <mergeCell ref="AP93:AP94"/>
    <mergeCell ref="AU93:AU94"/>
    <mergeCell ref="AV93:AV94"/>
    <mergeCell ref="A95:B95"/>
    <mergeCell ref="A96:B96"/>
    <mergeCell ref="AI93:AI94"/>
    <mergeCell ref="AJ93:AJ94"/>
    <mergeCell ref="AK93:AK94"/>
    <mergeCell ref="AL93:AL94"/>
    <mergeCell ref="AM93:AM94"/>
    <mergeCell ref="AN93:AN94"/>
    <mergeCell ref="AC93:AC94"/>
    <mergeCell ref="AD93:AD94"/>
    <mergeCell ref="AE93:AE94"/>
    <mergeCell ref="AF93:AF94"/>
    <mergeCell ref="AG93:AG94"/>
    <mergeCell ref="AH93:AH94"/>
    <mergeCell ref="W93:W94"/>
    <mergeCell ref="X93:X94"/>
    <mergeCell ref="Y93:Y94"/>
    <mergeCell ref="Z93:Z94"/>
    <mergeCell ref="AA93:AA94"/>
    <mergeCell ref="AB93:AB94"/>
    <mergeCell ref="Q93:Q94"/>
    <mergeCell ref="R93:R94"/>
    <mergeCell ref="S93:S94"/>
    <mergeCell ref="T93:T94"/>
    <mergeCell ref="U93:U94"/>
    <mergeCell ref="V93:V94"/>
    <mergeCell ref="K93:K94"/>
    <mergeCell ref="L93:L94"/>
    <mergeCell ref="M93:M94"/>
    <mergeCell ref="N93:N94"/>
    <mergeCell ref="O93:O94"/>
    <mergeCell ref="P93:P94"/>
    <mergeCell ref="E93:E94"/>
    <mergeCell ref="F93:F94"/>
    <mergeCell ref="G93:G94"/>
    <mergeCell ref="H93:H94"/>
    <mergeCell ref="I93:I94"/>
    <mergeCell ref="J93:J94"/>
    <mergeCell ref="A90:B90"/>
    <mergeCell ref="A91:B91"/>
    <mergeCell ref="A92:B92"/>
    <mergeCell ref="A93:B94"/>
    <mergeCell ref="C93:C94"/>
    <mergeCell ref="D93:D94"/>
    <mergeCell ref="Y86:Y87"/>
    <mergeCell ref="Z86:Z87"/>
    <mergeCell ref="AU86:AU87"/>
    <mergeCell ref="AV86:AV87"/>
    <mergeCell ref="A88:B88"/>
    <mergeCell ref="A89:B89"/>
    <mergeCell ref="S86:S87"/>
    <mergeCell ref="T86:T87"/>
    <mergeCell ref="U86:U87"/>
    <mergeCell ref="V86:V87"/>
    <mergeCell ref="W86:W87"/>
    <mergeCell ref="X86:X87"/>
    <mergeCell ref="M86:M87"/>
    <mergeCell ref="N86:N87"/>
    <mergeCell ref="O86:O87"/>
    <mergeCell ref="P86:P87"/>
    <mergeCell ref="Q86:Q87"/>
    <mergeCell ref="R86:R87"/>
    <mergeCell ref="G86:G87"/>
    <mergeCell ref="H86:H87"/>
    <mergeCell ref="I86:I87"/>
    <mergeCell ref="J86:J87"/>
    <mergeCell ref="K86:K87"/>
    <mergeCell ref="L86:L87"/>
    <mergeCell ref="A85:B85"/>
    <mergeCell ref="A86:B87"/>
    <mergeCell ref="C86:C87"/>
    <mergeCell ref="D86:D87"/>
    <mergeCell ref="E86:E87"/>
    <mergeCell ref="F86:F87"/>
    <mergeCell ref="AU79:AU80"/>
    <mergeCell ref="AV79:AV80"/>
    <mergeCell ref="A81:B81"/>
    <mergeCell ref="A82:B82"/>
    <mergeCell ref="A83:B83"/>
    <mergeCell ref="A84:B84"/>
    <mergeCell ref="AO79:AO80"/>
    <mergeCell ref="AP79:AP80"/>
    <mergeCell ref="AQ79:AQ80"/>
    <mergeCell ref="AR79:AR80"/>
    <mergeCell ref="AS79:AS80"/>
    <mergeCell ref="AT79:AT80"/>
    <mergeCell ref="AI79:AI80"/>
    <mergeCell ref="AJ79:AJ80"/>
    <mergeCell ref="AK79:AK80"/>
    <mergeCell ref="AL79:AL80"/>
    <mergeCell ref="AM79:AM80"/>
    <mergeCell ref="AN79:AN80"/>
    <mergeCell ref="AC79:AC80"/>
    <mergeCell ref="AD79:AD80"/>
    <mergeCell ref="AE79:AE80"/>
    <mergeCell ref="AF79:AF80"/>
    <mergeCell ref="AG79:AG80"/>
    <mergeCell ref="AH79:AH80"/>
    <mergeCell ref="W79:W80"/>
    <mergeCell ref="X79:X80"/>
    <mergeCell ref="Y79:Y80"/>
    <mergeCell ref="Z79:Z80"/>
    <mergeCell ref="AA79:AA80"/>
    <mergeCell ref="AB79:AB80"/>
    <mergeCell ref="Q79:Q80"/>
    <mergeCell ref="R79:R80"/>
    <mergeCell ref="S79:S80"/>
    <mergeCell ref="T79:T80"/>
    <mergeCell ref="U79:U80"/>
    <mergeCell ref="V79:V80"/>
    <mergeCell ref="K79:K80"/>
    <mergeCell ref="L79:L80"/>
    <mergeCell ref="M79:M80"/>
    <mergeCell ref="N79:N80"/>
    <mergeCell ref="O79:O80"/>
    <mergeCell ref="P79:P80"/>
    <mergeCell ref="E79:E80"/>
    <mergeCell ref="F79:F80"/>
    <mergeCell ref="G79:G80"/>
    <mergeCell ref="H79:H80"/>
    <mergeCell ref="I79:I80"/>
    <mergeCell ref="J79:J80"/>
    <mergeCell ref="A76:B76"/>
    <mergeCell ref="A77:B77"/>
    <mergeCell ref="A78:B78"/>
    <mergeCell ref="A79:B80"/>
    <mergeCell ref="C79:C80"/>
    <mergeCell ref="D79:D80"/>
    <mergeCell ref="AS72:AS73"/>
    <mergeCell ref="AT72:AT73"/>
    <mergeCell ref="AU72:AU73"/>
    <mergeCell ref="AV72:AV73"/>
    <mergeCell ref="A74:B74"/>
    <mergeCell ref="A75:B75"/>
    <mergeCell ref="AM72:AM73"/>
    <mergeCell ref="AN72:AN73"/>
    <mergeCell ref="AO72:AO73"/>
    <mergeCell ref="AP72:AP73"/>
    <mergeCell ref="AQ72:AQ73"/>
    <mergeCell ref="AR72:AR73"/>
    <mergeCell ref="AG72:AG73"/>
    <mergeCell ref="AH72:AH73"/>
    <mergeCell ref="AI72:AI73"/>
    <mergeCell ref="AJ72:AJ73"/>
    <mergeCell ref="AK72:AK73"/>
    <mergeCell ref="AL72:AL73"/>
    <mergeCell ref="AA72:AA73"/>
    <mergeCell ref="AB72:AB73"/>
    <mergeCell ref="AC72:AC73"/>
    <mergeCell ref="AD72:AD73"/>
    <mergeCell ref="AE72:AE73"/>
    <mergeCell ref="AF72:AF73"/>
    <mergeCell ref="U72:U73"/>
    <mergeCell ref="V72:V73"/>
    <mergeCell ref="W72:W73"/>
    <mergeCell ref="X72:X73"/>
    <mergeCell ref="Y72:Y73"/>
    <mergeCell ref="Z72:Z73"/>
    <mergeCell ref="O72:O73"/>
    <mergeCell ref="P72:P73"/>
    <mergeCell ref="Q72:Q73"/>
    <mergeCell ref="R72:R73"/>
    <mergeCell ref="S72:S73"/>
    <mergeCell ref="T72:T73"/>
    <mergeCell ref="I72:I73"/>
    <mergeCell ref="J72:J73"/>
    <mergeCell ref="K72:K73"/>
    <mergeCell ref="L72:L73"/>
    <mergeCell ref="M72:M73"/>
    <mergeCell ref="N72:N73"/>
    <mergeCell ref="C72:C73"/>
    <mergeCell ref="D72:D73"/>
    <mergeCell ref="E72:E73"/>
    <mergeCell ref="F72:F73"/>
    <mergeCell ref="G72:G73"/>
    <mergeCell ref="H72:H73"/>
    <mergeCell ref="A67:B67"/>
    <mergeCell ref="A68:B68"/>
    <mergeCell ref="A69:B69"/>
    <mergeCell ref="A70:B70"/>
    <mergeCell ref="A71:B71"/>
    <mergeCell ref="A72:B73"/>
    <mergeCell ref="AQ65:AQ66"/>
    <mergeCell ref="AR65:AR66"/>
    <mergeCell ref="AS65:AS66"/>
    <mergeCell ref="AE65:AE66"/>
    <mergeCell ref="AF65:AF66"/>
    <mergeCell ref="AG65:AG66"/>
    <mergeCell ref="AH65:AH66"/>
    <mergeCell ref="AI65:AI66"/>
    <mergeCell ref="AJ65:AJ66"/>
    <mergeCell ref="Y65:Y66"/>
    <mergeCell ref="Z65:Z66"/>
    <mergeCell ref="AA65:AA66"/>
    <mergeCell ref="AB65:AB66"/>
    <mergeCell ref="AC65:AC66"/>
    <mergeCell ref="AD65:AD66"/>
    <mergeCell ref="S65:S66"/>
    <mergeCell ref="T65:T66"/>
    <mergeCell ref="U65:U66"/>
    <mergeCell ref="AT65:AT66"/>
    <mergeCell ref="AU65:AU66"/>
    <mergeCell ref="AV65:AV66"/>
    <mergeCell ref="AK65:AK66"/>
    <mergeCell ref="AL65:AL66"/>
    <mergeCell ref="AM65:AM66"/>
    <mergeCell ref="AN65:AN66"/>
    <mergeCell ref="AO65:AO66"/>
    <mergeCell ref="AP65:AP66"/>
    <mergeCell ref="V65:V66"/>
    <mergeCell ref="W65:W66"/>
    <mergeCell ref="X65:X66"/>
    <mergeCell ref="M65:M66"/>
    <mergeCell ref="N65:N66"/>
    <mergeCell ref="O65:O66"/>
    <mergeCell ref="P65:P66"/>
    <mergeCell ref="Q65:Q66"/>
    <mergeCell ref="R65:R66"/>
    <mergeCell ref="G65:G66"/>
    <mergeCell ref="H65:H66"/>
    <mergeCell ref="I65:I66"/>
    <mergeCell ref="J65:J66"/>
    <mergeCell ref="K65:K66"/>
    <mergeCell ref="L65:L66"/>
    <mergeCell ref="A64:B64"/>
    <mergeCell ref="A65:B66"/>
    <mergeCell ref="C65:C66"/>
    <mergeCell ref="D65:D66"/>
    <mergeCell ref="E65:E66"/>
    <mergeCell ref="F65:F66"/>
    <mergeCell ref="AU58:AU59"/>
    <mergeCell ref="AV58:AV59"/>
    <mergeCell ref="A60:B60"/>
    <mergeCell ref="A61:B61"/>
    <mergeCell ref="A62:B62"/>
    <mergeCell ref="A63:B63"/>
    <mergeCell ref="AO58:AO59"/>
    <mergeCell ref="AP58:AP59"/>
    <mergeCell ref="AQ58:AQ59"/>
    <mergeCell ref="AR58:AR59"/>
    <mergeCell ref="AS58:AS59"/>
    <mergeCell ref="AT58:AT59"/>
    <mergeCell ref="AI58:AI59"/>
    <mergeCell ref="AJ58:AJ59"/>
    <mergeCell ref="AK58:AK59"/>
    <mergeCell ref="AL58:AL59"/>
    <mergeCell ref="AM58:AM59"/>
    <mergeCell ref="AN58:AN59"/>
    <mergeCell ref="AC58:AC59"/>
    <mergeCell ref="AD58:AD59"/>
    <mergeCell ref="AE58:AE59"/>
    <mergeCell ref="AF58:AF59"/>
    <mergeCell ref="AG58:AG59"/>
    <mergeCell ref="AH58:AH59"/>
    <mergeCell ref="W58:W59"/>
    <mergeCell ref="X58:X59"/>
    <mergeCell ref="Y58:Y59"/>
    <mergeCell ref="Z58:Z59"/>
    <mergeCell ref="AA58:AA59"/>
    <mergeCell ref="AB58:AB59"/>
    <mergeCell ref="Q58:Q59"/>
    <mergeCell ref="R58:R59"/>
    <mergeCell ref="S58:S59"/>
    <mergeCell ref="T58:T59"/>
    <mergeCell ref="U58:U59"/>
    <mergeCell ref="V58:V59"/>
    <mergeCell ref="K58:K59"/>
    <mergeCell ref="L58:L59"/>
    <mergeCell ref="M58:M59"/>
    <mergeCell ref="N58:N59"/>
    <mergeCell ref="O58:O59"/>
    <mergeCell ref="P58:P59"/>
    <mergeCell ref="E58:E59"/>
    <mergeCell ref="F58:F59"/>
    <mergeCell ref="G58:G59"/>
    <mergeCell ref="H58:H59"/>
    <mergeCell ref="I58:I59"/>
    <mergeCell ref="J58:J59"/>
    <mergeCell ref="A55:B55"/>
    <mergeCell ref="A56:B56"/>
    <mergeCell ref="A57:B57"/>
    <mergeCell ref="A58:B59"/>
    <mergeCell ref="C58:C59"/>
    <mergeCell ref="D58:D59"/>
    <mergeCell ref="AS51:AS52"/>
    <mergeCell ref="AT51:AT52"/>
    <mergeCell ref="AU51:AU52"/>
    <mergeCell ref="X51:X52"/>
    <mergeCell ref="Y51:Y52"/>
    <mergeCell ref="Z51:Z52"/>
    <mergeCell ref="O51:O52"/>
    <mergeCell ref="P51:P52"/>
    <mergeCell ref="Q51:Q52"/>
    <mergeCell ref="R51:R52"/>
    <mergeCell ref="S51:S52"/>
    <mergeCell ref="T51:T52"/>
    <mergeCell ref="I51:I52"/>
    <mergeCell ref="J51:J52"/>
    <mergeCell ref="K51:K52"/>
    <mergeCell ref="L51:L52"/>
    <mergeCell ref="M51:M52"/>
    <mergeCell ref="N51:N52"/>
    <mergeCell ref="AV51:AV52"/>
    <mergeCell ref="A53:B53"/>
    <mergeCell ref="A54:B54"/>
    <mergeCell ref="AM51:AM52"/>
    <mergeCell ref="AN51:AN52"/>
    <mergeCell ref="AO51:AO52"/>
    <mergeCell ref="AP51:AP52"/>
    <mergeCell ref="AQ51:AQ52"/>
    <mergeCell ref="AR51:AR52"/>
    <mergeCell ref="AG51:AG52"/>
    <mergeCell ref="AH51:AH52"/>
    <mergeCell ref="AI51:AI52"/>
    <mergeCell ref="AJ51:AJ52"/>
    <mergeCell ref="AK51:AK52"/>
    <mergeCell ref="AL51:AL52"/>
    <mergeCell ref="AA51:AA52"/>
    <mergeCell ref="AB51:AB52"/>
    <mergeCell ref="AC51:AC52"/>
    <mergeCell ref="AD51:AD52"/>
    <mergeCell ref="AE51:AE52"/>
    <mergeCell ref="AF51:AF52"/>
    <mergeCell ref="U51:U52"/>
    <mergeCell ref="V51:V52"/>
    <mergeCell ref="W51:W52"/>
    <mergeCell ref="C51:C52"/>
    <mergeCell ref="D51:D52"/>
    <mergeCell ref="E51:E52"/>
    <mergeCell ref="F51:F52"/>
    <mergeCell ref="G51:G52"/>
    <mergeCell ref="H51:H52"/>
    <mergeCell ref="A46:B46"/>
    <mergeCell ref="A47:B47"/>
    <mergeCell ref="A48:B48"/>
    <mergeCell ref="A49:B49"/>
    <mergeCell ref="A50:B50"/>
    <mergeCell ref="A51:B52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Q8:AQ9"/>
    <mergeCell ref="AR8:AR9"/>
    <mergeCell ref="AS8:AS9"/>
    <mergeCell ref="AT8:AT9"/>
    <mergeCell ref="AU8:AU9"/>
    <mergeCell ref="AV8:AV9"/>
    <mergeCell ref="AK8:AK9"/>
    <mergeCell ref="AL8:AL9"/>
    <mergeCell ref="AM8:AM9"/>
    <mergeCell ref="AN8:AN9"/>
    <mergeCell ref="AO8:AO9"/>
    <mergeCell ref="AP8:AP9"/>
    <mergeCell ref="P8:P9"/>
    <mergeCell ref="Q8:Q9"/>
    <mergeCell ref="R8:R9"/>
    <mergeCell ref="AE8:AE9"/>
    <mergeCell ref="AF8:AF9"/>
    <mergeCell ref="AG8:AG9"/>
    <mergeCell ref="AH8:AH9"/>
    <mergeCell ref="AI8:AI9"/>
    <mergeCell ref="AJ8:AJ9"/>
    <mergeCell ref="Y8:Y9"/>
    <mergeCell ref="Z8:Z9"/>
    <mergeCell ref="AA8:AA9"/>
    <mergeCell ref="AB8:AB9"/>
    <mergeCell ref="AC8:AC9"/>
    <mergeCell ref="AD8:AD9"/>
    <mergeCell ref="A8:B9"/>
    <mergeCell ref="C8:C9"/>
    <mergeCell ref="D8:D9"/>
    <mergeCell ref="E8:E9"/>
    <mergeCell ref="F8:F9"/>
    <mergeCell ref="S5:T6"/>
    <mergeCell ref="U5:V6"/>
    <mergeCell ref="W5:X6"/>
    <mergeCell ref="Y5:Z6"/>
    <mergeCell ref="G8:G9"/>
    <mergeCell ref="H8:H9"/>
    <mergeCell ref="I8:I9"/>
    <mergeCell ref="J8:J9"/>
    <mergeCell ref="K8:K9"/>
    <mergeCell ref="L8:L9"/>
    <mergeCell ref="S8:S9"/>
    <mergeCell ref="T8:T9"/>
    <mergeCell ref="U8:U9"/>
    <mergeCell ref="V8:V9"/>
    <mergeCell ref="W8:W9"/>
    <mergeCell ref="X8:X9"/>
    <mergeCell ref="M8:M9"/>
    <mergeCell ref="N8:N9"/>
    <mergeCell ref="O8:O9"/>
    <mergeCell ref="B1:AU4"/>
    <mergeCell ref="A5:B7"/>
    <mergeCell ref="C5:D6"/>
    <mergeCell ref="E5:F6"/>
    <mergeCell ref="G5:H6"/>
    <mergeCell ref="I5:J6"/>
    <mergeCell ref="K5:L6"/>
    <mergeCell ref="M5:N6"/>
    <mergeCell ref="O5:P6"/>
    <mergeCell ref="Q5:R6"/>
    <mergeCell ref="AQ5:AT6"/>
    <mergeCell ref="AU5:AV6"/>
    <mergeCell ref="AA5:AB6"/>
    <mergeCell ref="AC5:AD6"/>
    <mergeCell ref="AE5:AH6"/>
    <mergeCell ref="AI5:AL6"/>
    <mergeCell ref="AM5:AP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Z132"/>
  <sheetViews>
    <sheetView tabSelected="1" topLeftCell="A16" zoomScale="68" zoomScaleNormal="68" workbookViewId="0">
      <selection activeCell="AS113" sqref="AS113"/>
    </sheetView>
  </sheetViews>
  <sheetFormatPr defaultRowHeight="14.4"/>
  <cols>
    <col min="2" max="2" width="17" customWidth="1"/>
    <col min="3" max="3" width="13.6640625" hidden="1" customWidth="1"/>
    <col min="4" max="4" width="12.6640625" hidden="1" customWidth="1"/>
    <col min="5" max="5" width="14" hidden="1" customWidth="1"/>
    <col min="6" max="6" width="12.33203125" hidden="1" customWidth="1"/>
    <col min="7" max="7" width="12.5546875" hidden="1" customWidth="1"/>
    <col min="8" max="8" width="12.6640625" hidden="1" customWidth="1"/>
    <col min="9" max="9" width="14.109375" hidden="1" customWidth="1"/>
    <col min="10" max="10" width="14" hidden="1" customWidth="1"/>
    <col min="11" max="11" width="12.6640625" hidden="1" customWidth="1"/>
    <col min="12" max="12" width="13.88671875" hidden="1" customWidth="1"/>
    <col min="13" max="13" width="15.109375" hidden="1" customWidth="1"/>
    <col min="14" max="14" width="13.6640625" hidden="1" customWidth="1"/>
    <col min="15" max="15" width="13.109375" hidden="1" customWidth="1"/>
    <col min="16" max="16" width="13.88671875" hidden="1" customWidth="1"/>
    <col min="17" max="17" width="14.33203125" hidden="1" customWidth="1"/>
    <col min="18" max="18" width="14.44140625" hidden="1" customWidth="1"/>
    <col min="19" max="19" width="15" hidden="1" customWidth="1"/>
    <col min="20" max="20" width="13.33203125" hidden="1" customWidth="1"/>
    <col min="21" max="21" width="16" hidden="1" customWidth="1"/>
    <col min="22" max="22" width="13.109375" hidden="1" customWidth="1"/>
    <col min="23" max="23" width="13.33203125" hidden="1" customWidth="1"/>
    <col min="24" max="24" width="14.109375" hidden="1" customWidth="1"/>
    <col min="25" max="25" width="14.33203125" hidden="1" customWidth="1"/>
    <col min="26" max="26" width="13.33203125" hidden="1" customWidth="1"/>
    <col min="27" max="27" width="13.44140625" hidden="1" customWidth="1"/>
    <col min="28" max="28" width="12.5546875" hidden="1" customWidth="1"/>
    <col min="29" max="29" width="13.33203125" hidden="1" customWidth="1"/>
    <col min="30" max="30" width="14" hidden="1" customWidth="1"/>
    <col min="31" max="31" width="15.77734375" customWidth="1"/>
    <col min="32" max="34" width="14" customWidth="1"/>
    <col min="35" max="35" width="16" customWidth="1"/>
    <col min="36" max="38" width="14" customWidth="1"/>
    <col min="39" max="39" width="16" customWidth="1"/>
    <col min="40" max="42" width="14" customWidth="1"/>
    <col min="43" max="43" width="15.77734375" customWidth="1"/>
    <col min="44" max="44" width="17.44140625" customWidth="1"/>
    <col min="45" max="46" width="14" customWidth="1"/>
    <col min="47" max="47" width="12.77734375" customWidth="1"/>
    <col min="48" max="48" width="9.44140625" customWidth="1"/>
  </cols>
  <sheetData>
    <row r="1" spans="1:52">
      <c r="B1" s="93" t="s">
        <v>20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</row>
    <row r="2" spans="1:52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</row>
    <row r="3" spans="1:52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</row>
    <row r="4" spans="1:52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</row>
    <row r="5" spans="1:52">
      <c r="A5" s="95" t="s">
        <v>0</v>
      </c>
      <c r="B5" s="96"/>
      <c r="C5" s="101" t="s">
        <v>25</v>
      </c>
      <c r="D5" s="102"/>
      <c r="E5" s="101" t="s">
        <v>26</v>
      </c>
      <c r="F5" s="102"/>
      <c r="G5" s="101" t="s">
        <v>27</v>
      </c>
      <c r="H5" s="102"/>
      <c r="I5" s="101" t="s">
        <v>28</v>
      </c>
      <c r="J5" s="102"/>
      <c r="K5" s="101" t="s">
        <v>29</v>
      </c>
      <c r="L5" s="102"/>
      <c r="M5" s="101" t="s">
        <v>30</v>
      </c>
      <c r="N5" s="102"/>
      <c r="O5" s="101" t="s">
        <v>31</v>
      </c>
      <c r="P5" s="102"/>
      <c r="Q5" s="101" t="s">
        <v>32</v>
      </c>
      <c r="R5" s="102"/>
      <c r="S5" s="101" t="s">
        <v>33</v>
      </c>
      <c r="T5" s="102"/>
      <c r="U5" s="101" t="s">
        <v>34</v>
      </c>
      <c r="V5" s="102"/>
      <c r="W5" s="101" t="s">
        <v>35</v>
      </c>
      <c r="X5" s="102"/>
      <c r="Y5" s="101" t="s">
        <v>36</v>
      </c>
      <c r="Z5" s="102"/>
      <c r="AA5" s="101" t="s">
        <v>38</v>
      </c>
      <c r="AB5" s="115"/>
      <c r="AC5" s="105">
        <v>42736</v>
      </c>
      <c r="AD5" s="115"/>
      <c r="AE5" s="118">
        <v>43466</v>
      </c>
      <c r="AF5" s="106"/>
      <c r="AG5" s="106"/>
      <c r="AH5" s="107"/>
      <c r="AI5" s="105">
        <v>43831</v>
      </c>
      <c r="AJ5" s="106"/>
      <c r="AK5" s="106"/>
      <c r="AL5" s="107"/>
      <c r="AM5" s="105">
        <v>44197</v>
      </c>
      <c r="AN5" s="106"/>
      <c r="AO5" s="106"/>
      <c r="AP5" s="107"/>
      <c r="AQ5" s="105">
        <v>44348</v>
      </c>
      <c r="AR5" s="106"/>
      <c r="AS5" s="106"/>
      <c r="AT5" s="107"/>
      <c r="AU5" s="111" t="s">
        <v>6</v>
      </c>
      <c r="AV5" s="112"/>
    </row>
    <row r="6" spans="1:52">
      <c r="A6" s="97"/>
      <c r="B6" s="98"/>
      <c r="C6" s="103"/>
      <c r="D6" s="104"/>
      <c r="E6" s="103"/>
      <c r="F6" s="104"/>
      <c r="G6" s="103"/>
      <c r="H6" s="104"/>
      <c r="I6" s="103"/>
      <c r="J6" s="104"/>
      <c r="K6" s="103"/>
      <c r="L6" s="104"/>
      <c r="M6" s="103"/>
      <c r="N6" s="104"/>
      <c r="O6" s="103"/>
      <c r="P6" s="104"/>
      <c r="Q6" s="103"/>
      <c r="R6" s="104"/>
      <c r="S6" s="103"/>
      <c r="T6" s="104"/>
      <c r="U6" s="103"/>
      <c r="V6" s="104"/>
      <c r="W6" s="103"/>
      <c r="X6" s="104"/>
      <c r="Y6" s="103"/>
      <c r="Z6" s="104"/>
      <c r="AA6" s="116"/>
      <c r="AB6" s="117"/>
      <c r="AC6" s="116"/>
      <c r="AD6" s="117"/>
      <c r="AE6" s="108"/>
      <c r="AF6" s="109"/>
      <c r="AG6" s="109"/>
      <c r="AH6" s="110"/>
      <c r="AI6" s="108"/>
      <c r="AJ6" s="109"/>
      <c r="AK6" s="109"/>
      <c r="AL6" s="110"/>
      <c r="AM6" s="108"/>
      <c r="AN6" s="109"/>
      <c r="AO6" s="109"/>
      <c r="AP6" s="110"/>
      <c r="AQ6" s="108"/>
      <c r="AR6" s="109"/>
      <c r="AS6" s="109"/>
      <c r="AT6" s="110"/>
      <c r="AU6" s="113"/>
      <c r="AV6" s="114"/>
    </row>
    <row r="7" spans="1:52" ht="43.2">
      <c r="A7" s="99"/>
      <c r="B7" s="100"/>
      <c r="C7" s="11" t="s">
        <v>5</v>
      </c>
      <c r="D7" s="11" t="s">
        <v>12</v>
      </c>
      <c r="E7" s="11" t="s">
        <v>5</v>
      </c>
      <c r="F7" s="11" t="s">
        <v>12</v>
      </c>
      <c r="G7" s="11" t="s">
        <v>5</v>
      </c>
      <c r="H7" s="11" t="s">
        <v>12</v>
      </c>
      <c r="I7" s="11" t="s">
        <v>5</v>
      </c>
      <c r="J7" s="11" t="s">
        <v>12</v>
      </c>
      <c r="K7" s="11" t="s">
        <v>5</v>
      </c>
      <c r="L7" s="11" t="s">
        <v>12</v>
      </c>
      <c r="M7" s="11" t="s">
        <v>5</v>
      </c>
      <c r="N7" s="11" t="s">
        <v>12</v>
      </c>
      <c r="O7" s="11" t="s">
        <v>5</v>
      </c>
      <c r="P7" s="11" t="s">
        <v>12</v>
      </c>
      <c r="Q7" s="11" t="s">
        <v>5</v>
      </c>
      <c r="R7" s="11" t="s">
        <v>12</v>
      </c>
      <c r="S7" s="11" t="s">
        <v>5</v>
      </c>
      <c r="T7" s="11" t="s">
        <v>12</v>
      </c>
      <c r="U7" s="11" t="s">
        <v>5</v>
      </c>
      <c r="V7" s="11" t="s">
        <v>12</v>
      </c>
      <c r="W7" s="11" t="s">
        <v>5</v>
      </c>
      <c r="X7" s="11" t="s">
        <v>12</v>
      </c>
      <c r="Y7" s="11" t="s">
        <v>5</v>
      </c>
      <c r="Z7" s="11" t="s">
        <v>12</v>
      </c>
      <c r="AA7" s="17" t="s">
        <v>5</v>
      </c>
      <c r="AB7" s="11" t="s">
        <v>40</v>
      </c>
      <c r="AC7" s="24" t="s">
        <v>5</v>
      </c>
      <c r="AD7" s="24" t="s">
        <v>40</v>
      </c>
      <c r="AE7" s="24" t="s">
        <v>42</v>
      </c>
      <c r="AF7" s="24" t="s">
        <v>41</v>
      </c>
      <c r="AG7" s="24" t="s">
        <v>51</v>
      </c>
      <c r="AH7" s="24" t="s">
        <v>41</v>
      </c>
      <c r="AI7" s="24" t="s">
        <v>42</v>
      </c>
      <c r="AJ7" s="24" t="s">
        <v>41</v>
      </c>
      <c r="AK7" s="24" t="s">
        <v>51</v>
      </c>
      <c r="AL7" s="24" t="s">
        <v>41</v>
      </c>
      <c r="AM7" s="24" t="s">
        <v>42</v>
      </c>
      <c r="AN7" s="24" t="s">
        <v>41</v>
      </c>
      <c r="AO7" s="24" t="s">
        <v>51</v>
      </c>
      <c r="AP7" s="24" t="s">
        <v>41</v>
      </c>
      <c r="AQ7" s="24" t="s">
        <v>42</v>
      </c>
      <c r="AR7" s="24" t="s">
        <v>41</v>
      </c>
      <c r="AS7" s="24" t="s">
        <v>51</v>
      </c>
      <c r="AT7" s="24" t="s">
        <v>41</v>
      </c>
      <c r="AU7" s="24" t="s">
        <v>5</v>
      </c>
      <c r="AV7" s="24" t="s">
        <v>50</v>
      </c>
      <c r="AW7" s="49"/>
      <c r="AX7" s="49"/>
      <c r="AY7" s="49"/>
      <c r="AZ7" s="49"/>
    </row>
    <row r="8" spans="1:52">
      <c r="A8" s="133" t="s">
        <v>46</v>
      </c>
      <c r="B8" s="134"/>
      <c r="C8" s="119">
        <v>4339281.38</v>
      </c>
      <c r="D8" s="119">
        <v>301680.46000000002</v>
      </c>
      <c r="E8" s="119">
        <f t="shared" ref="E8:AD8" si="0">SUM(E10:E14)</f>
        <v>1585306.45</v>
      </c>
      <c r="F8" s="119">
        <f t="shared" si="0"/>
        <v>1801203.7999999998</v>
      </c>
      <c r="G8" s="119">
        <f t="shared" si="0"/>
        <v>1880710.93</v>
      </c>
      <c r="H8" s="119">
        <f t="shared" si="0"/>
        <v>1726285.8</v>
      </c>
      <c r="I8" s="119">
        <f t="shared" si="0"/>
        <v>2043940.37</v>
      </c>
      <c r="J8" s="119">
        <f t="shared" si="0"/>
        <v>1726285.8</v>
      </c>
      <c r="K8" s="119">
        <f t="shared" si="0"/>
        <v>1800545.93</v>
      </c>
      <c r="L8" s="119">
        <f t="shared" si="0"/>
        <v>1726285.8</v>
      </c>
      <c r="M8" s="119">
        <f t="shared" si="0"/>
        <v>1791783.17</v>
      </c>
      <c r="N8" s="119">
        <f t="shared" si="0"/>
        <v>1726285.8</v>
      </c>
      <c r="O8" s="119">
        <f t="shared" si="0"/>
        <v>1777486.53</v>
      </c>
      <c r="P8" s="119">
        <f t="shared" si="0"/>
        <v>1726285.8</v>
      </c>
      <c r="Q8" s="119">
        <f t="shared" si="0"/>
        <v>1764579</v>
      </c>
      <c r="R8" s="119">
        <f t="shared" si="0"/>
        <v>1726285.8</v>
      </c>
      <c r="S8" s="119">
        <f t="shared" si="0"/>
        <v>1758347.09</v>
      </c>
      <c r="T8" s="119">
        <f t="shared" si="0"/>
        <v>1726285.8</v>
      </c>
      <c r="U8" s="119">
        <f t="shared" si="0"/>
        <v>1761309.72</v>
      </c>
      <c r="V8" s="119">
        <f t="shared" si="0"/>
        <v>1726285.8</v>
      </c>
      <c r="W8" s="119">
        <f t="shared" si="0"/>
        <v>1748835.28</v>
      </c>
      <c r="X8" s="119">
        <f t="shared" si="0"/>
        <v>1726285.8</v>
      </c>
      <c r="Y8" s="119">
        <f t="shared" si="0"/>
        <v>1009374.5399999999</v>
      </c>
      <c r="Z8" s="119">
        <f t="shared" si="0"/>
        <v>1126468.53</v>
      </c>
      <c r="AA8" s="131">
        <f t="shared" si="0"/>
        <v>11386898.26</v>
      </c>
      <c r="AB8" s="131">
        <f t="shared" si="0"/>
        <v>8994676.1799999997</v>
      </c>
      <c r="AC8" s="131">
        <f t="shared" si="0"/>
        <v>3615198.68</v>
      </c>
      <c r="AD8" s="131">
        <f t="shared" si="0"/>
        <v>0</v>
      </c>
      <c r="AE8" s="121">
        <f>AE10+AE11+AE12+AE13+AE14</f>
        <v>42333749.980000004</v>
      </c>
      <c r="AF8" s="121">
        <v>0</v>
      </c>
      <c r="AG8" s="125">
        <v>0</v>
      </c>
      <c r="AH8" s="121">
        <v>0</v>
      </c>
      <c r="AI8" s="121">
        <f t="shared" ref="AI8:AT8" si="1">AI10+AI11+AI12+AI13+AI14</f>
        <v>8750479.9399999995</v>
      </c>
      <c r="AJ8" s="121">
        <f t="shared" si="1"/>
        <v>23845.269999999997</v>
      </c>
      <c r="AK8" s="121">
        <f t="shared" si="1"/>
        <v>571235</v>
      </c>
      <c r="AL8" s="121">
        <f t="shared" si="1"/>
        <v>571235</v>
      </c>
      <c r="AM8" s="121">
        <f t="shared" si="1"/>
        <v>354308.05</v>
      </c>
      <c r="AN8" s="121">
        <f t="shared" si="1"/>
        <v>325.33999999999997</v>
      </c>
      <c r="AO8" s="121">
        <f t="shared" si="1"/>
        <v>0</v>
      </c>
      <c r="AP8" s="121">
        <f t="shared" si="1"/>
        <v>0</v>
      </c>
      <c r="AQ8" s="161">
        <f t="shared" si="1"/>
        <v>10296843.02</v>
      </c>
      <c r="AR8" s="161">
        <f t="shared" si="1"/>
        <v>7557577.9300000006</v>
      </c>
      <c r="AS8" s="161">
        <f t="shared" si="1"/>
        <v>0</v>
      </c>
      <c r="AT8" s="161">
        <f t="shared" si="1"/>
        <v>0</v>
      </c>
      <c r="AU8" s="143">
        <f>AQ8/AM8-1</f>
        <v>28.061837629712336</v>
      </c>
      <c r="AV8" s="143" t="e">
        <f>AS8/AO8-1</f>
        <v>#DIV/0!</v>
      </c>
    </row>
    <row r="9" spans="1:52" ht="6.6" customHeight="1">
      <c r="A9" s="135"/>
      <c r="B9" s="136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32"/>
      <c r="AB9" s="132"/>
      <c r="AC9" s="132"/>
      <c r="AD9" s="132"/>
      <c r="AE9" s="122"/>
      <c r="AF9" s="122"/>
      <c r="AG9" s="126"/>
      <c r="AH9" s="122"/>
      <c r="AI9" s="122"/>
      <c r="AJ9" s="122"/>
      <c r="AK9" s="122"/>
      <c r="AL9" s="122"/>
      <c r="AM9" s="122"/>
      <c r="AN9" s="122"/>
      <c r="AO9" s="122"/>
      <c r="AP9" s="122"/>
      <c r="AQ9" s="162"/>
      <c r="AR9" s="162"/>
      <c r="AS9" s="162"/>
      <c r="AT9" s="162"/>
      <c r="AU9" s="144"/>
      <c r="AV9" s="144"/>
    </row>
    <row r="10" spans="1:52" ht="43.5" customHeight="1">
      <c r="A10" s="127" t="s">
        <v>10</v>
      </c>
      <c r="B10" s="128"/>
      <c r="C10" s="1"/>
      <c r="D10" s="1"/>
      <c r="E10" s="1"/>
      <c r="F10" s="1"/>
      <c r="G10" s="1">
        <f>1880710.93-1726285.8</f>
        <v>154425.12999999989</v>
      </c>
      <c r="H10" s="1"/>
      <c r="I10" s="1">
        <f>2043940.37-1726285.8</f>
        <v>317654.57000000007</v>
      </c>
      <c r="J10" s="1"/>
      <c r="K10" s="1">
        <f>1800545.93-1726285.8</f>
        <v>74260.129999999888</v>
      </c>
      <c r="L10" s="1"/>
      <c r="M10" s="1">
        <f>1791783.17-1726285.8</f>
        <v>65497.369999999879</v>
      </c>
      <c r="N10" s="1"/>
      <c r="O10" s="1">
        <f>1777486.53-1726285.8</f>
        <v>51200.729999999981</v>
      </c>
      <c r="P10" s="1"/>
      <c r="Q10" s="1">
        <v>38293.199999999997</v>
      </c>
      <c r="R10" s="1"/>
      <c r="S10" s="1"/>
      <c r="T10" s="1"/>
      <c r="U10" s="1"/>
      <c r="V10" s="1"/>
      <c r="W10" s="1"/>
      <c r="X10" s="1"/>
      <c r="Y10" s="1">
        <v>1195328.95</v>
      </c>
      <c r="Z10" s="1">
        <v>1126468.53</v>
      </c>
      <c r="AA10" s="19">
        <v>9260028.4399999995</v>
      </c>
      <c r="AB10" s="19">
        <v>8994676.1799999997</v>
      </c>
      <c r="AC10" s="19">
        <v>1203866.6499999999</v>
      </c>
      <c r="AD10" s="19"/>
      <c r="AE10" s="19">
        <f>416263.48+37900405.82+562292</f>
        <v>38878961.299999997</v>
      </c>
      <c r="AF10" s="19"/>
      <c r="AG10" s="19"/>
      <c r="AH10" s="19"/>
      <c r="AI10" s="19">
        <f>7760580.92-6672685.6</f>
        <v>1087895.3200000003</v>
      </c>
      <c r="AJ10" s="19">
        <v>18905.939999999999</v>
      </c>
      <c r="AK10" s="19">
        <v>571235</v>
      </c>
      <c r="AL10" s="19">
        <v>571235</v>
      </c>
      <c r="AM10" s="19">
        <v>157860.57999999999</v>
      </c>
      <c r="AN10" s="19">
        <v>325.33999999999997</v>
      </c>
      <c r="AO10" s="19"/>
      <c r="AP10" s="19">
        <v>0</v>
      </c>
      <c r="AQ10" s="59">
        <v>241315.8</v>
      </c>
      <c r="AR10" s="59">
        <v>6369.9</v>
      </c>
      <c r="AS10" s="59"/>
      <c r="AT10" s="59"/>
      <c r="AU10" s="66"/>
      <c r="AV10" s="66"/>
    </row>
    <row r="11" spans="1:52" ht="17.25" customHeight="1">
      <c r="A11" s="127" t="s">
        <v>7</v>
      </c>
      <c r="B11" s="128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9">
        <v>1010215.34</v>
      </c>
      <c r="AB11" s="19"/>
      <c r="AC11" s="19">
        <v>1531012.85</v>
      </c>
      <c r="AD11" s="19"/>
      <c r="AE11" s="19">
        <f>2206899.92+113179.6</f>
        <v>2320079.52</v>
      </c>
      <c r="AF11" s="19"/>
      <c r="AG11" s="19"/>
      <c r="AH11" s="19"/>
      <c r="AI11" s="19">
        <v>662186.56000000006</v>
      </c>
      <c r="AJ11" s="19"/>
      <c r="AK11" s="19"/>
      <c r="AL11" s="19"/>
      <c r="AM11" s="19"/>
      <c r="AN11" s="19"/>
      <c r="AO11" s="19"/>
      <c r="AP11" s="19"/>
      <c r="AQ11" s="59">
        <v>1670809.32</v>
      </c>
      <c r="AR11" s="59"/>
      <c r="AS11" s="59"/>
      <c r="AT11" s="59"/>
      <c r="AU11" s="66"/>
      <c r="AV11" s="66"/>
    </row>
    <row r="12" spans="1:52" ht="25.2" customHeight="1">
      <c r="A12" s="127" t="s">
        <v>8</v>
      </c>
      <c r="B12" s="12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>
        <v>-16948.759999999998</v>
      </c>
      <c r="Z12" s="1"/>
      <c r="AA12" s="19">
        <v>1116654.48</v>
      </c>
      <c r="AB12" s="19"/>
      <c r="AC12" s="19">
        <v>880319.18</v>
      </c>
      <c r="AD12" s="19"/>
      <c r="AE12" s="19">
        <f>1078354.1</f>
        <v>1078354.1000000001</v>
      </c>
      <c r="AF12" s="19"/>
      <c r="AG12" s="19"/>
      <c r="AH12" s="19"/>
      <c r="AI12" s="19">
        <v>327712.46000000002</v>
      </c>
      <c r="AJ12" s="19">
        <v>4939.33</v>
      </c>
      <c r="AK12" s="19"/>
      <c r="AL12" s="19"/>
      <c r="AM12" s="19"/>
      <c r="AN12" s="19"/>
      <c r="AO12" s="19"/>
      <c r="AP12" s="19"/>
      <c r="AQ12" s="59">
        <v>833509.87</v>
      </c>
      <c r="AR12" s="59"/>
      <c r="AS12" s="59"/>
      <c r="AT12" s="59"/>
      <c r="AU12" s="66"/>
      <c r="AV12" s="66"/>
    </row>
    <row r="13" spans="1:52">
      <c r="A13" s="127" t="s">
        <v>9</v>
      </c>
      <c r="B13" s="128"/>
      <c r="C13" s="1"/>
      <c r="D13" s="1"/>
      <c r="E13" s="1">
        <v>74918</v>
      </c>
      <c r="F13" s="1">
        <v>74918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>
        <v>-169005.65</v>
      </c>
      <c r="Z13" s="1"/>
      <c r="AA13" s="12"/>
      <c r="AB13" s="12"/>
      <c r="AC13" s="19"/>
      <c r="AD13" s="19"/>
      <c r="AE13" s="19">
        <v>56355.06</v>
      </c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59"/>
      <c r="AR13" s="59"/>
      <c r="AS13" s="59"/>
      <c r="AT13" s="59"/>
      <c r="AU13" s="66"/>
      <c r="AV13" s="66"/>
    </row>
    <row r="14" spans="1:52" ht="15.6" customHeight="1">
      <c r="A14" s="127" t="s">
        <v>14</v>
      </c>
      <c r="B14" s="128"/>
      <c r="C14" s="1"/>
      <c r="D14" s="1"/>
      <c r="E14" s="1">
        <v>1510388.45</v>
      </c>
      <c r="F14" s="1">
        <f>169005.65+1557280.15</f>
        <v>1726285.7999999998</v>
      </c>
      <c r="G14" s="1">
        <v>1726285.8</v>
      </c>
      <c r="H14" s="1">
        <v>1726285.8</v>
      </c>
      <c r="I14" s="1">
        <v>1726285.8</v>
      </c>
      <c r="J14" s="1">
        <v>1726285.8</v>
      </c>
      <c r="K14" s="1">
        <v>1726285.8</v>
      </c>
      <c r="L14" s="1">
        <v>1726285.8</v>
      </c>
      <c r="M14" s="1">
        <v>1726285.8</v>
      </c>
      <c r="N14" s="1">
        <v>1726285.8</v>
      </c>
      <c r="O14" s="1">
        <v>1726285.8</v>
      </c>
      <c r="P14" s="1">
        <v>1726285.8</v>
      </c>
      <c r="Q14" s="1">
        <v>1726285.8</v>
      </c>
      <c r="R14" s="1">
        <v>1726285.8</v>
      </c>
      <c r="S14" s="1">
        <v>1758347.09</v>
      </c>
      <c r="T14" s="1">
        <v>1726285.8</v>
      </c>
      <c r="U14" s="1">
        <v>1761309.72</v>
      </c>
      <c r="V14" s="1">
        <v>1726285.8</v>
      </c>
      <c r="W14" s="1">
        <v>1748835.28</v>
      </c>
      <c r="X14" s="1">
        <v>1726285.8</v>
      </c>
      <c r="Y14" s="1"/>
      <c r="Z14" s="1"/>
      <c r="AA14" s="12"/>
      <c r="AB14" s="12"/>
      <c r="AC14" s="19"/>
      <c r="AD14" s="19"/>
      <c r="AE14" s="19"/>
      <c r="AF14" s="19"/>
      <c r="AG14" s="19"/>
      <c r="AH14" s="19"/>
      <c r="AI14" s="19">
        <v>6672685.5999999996</v>
      </c>
      <c r="AJ14" s="19"/>
      <c r="AK14" s="19"/>
      <c r="AL14" s="19"/>
      <c r="AM14" s="19">
        <v>196447.47</v>
      </c>
      <c r="AN14" s="19"/>
      <c r="AO14" s="19"/>
      <c r="AP14" s="19"/>
      <c r="AQ14" s="59">
        <v>7551208.0300000003</v>
      </c>
      <c r="AR14" s="59">
        <v>7551208.0300000003</v>
      </c>
      <c r="AS14" s="59"/>
      <c r="AT14" s="59"/>
      <c r="AU14" s="66"/>
      <c r="AV14" s="66"/>
    </row>
    <row r="15" spans="1:52">
      <c r="A15" s="129" t="s">
        <v>49</v>
      </c>
      <c r="B15" s="130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7"/>
      <c r="AB15" s="37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84">
        <f>AM16+AM17+AM18+AM19+AM20</f>
        <v>156091.94</v>
      </c>
      <c r="AN15" s="38">
        <f>AN16+AN17+AN18+AN19+AN20</f>
        <v>0</v>
      </c>
      <c r="AO15" s="38">
        <f t="shared" ref="AO15:AP15" si="2">AO16+AO17+AO18+AO19+AO20</f>
        <v>0</v>
      </c>
      <c r="AP15" s="38">
        <f t="shared" si="2"/>
        <v>0</v>
      </c>
      <c r="AQ15" s="85">
        <f>AQ16+AQ17+AQ18+AQ19+AQ20</f>
        <v>731997.53</v>
      </c>
      <c r="AR15" s="85">
        <f>AR16+AR17+AR18+AR19+AR20</f>
        <v>0</v>
      </c>
      <c r="AS15" s="85">
        <f t="shared" ref="AS15:AT15" si="3">AS16+AS17+AS18+AS19+AS20</f>
        <v>0</v>
      </c>
      <c r="AT15" s="85">
        <f t="shared" si="3"/>
        <v>0</v>
      </c>
      <c r="AU15" s="52">
        <f>AQ15/AM15-1</f>
        <v>3.6895280435363924</v>
      </c>
      <c r="AV15" s="53" t="e">
        <f>AO15/AK15-1</f>
        <v>#DIV/0!</v>
      </c>
    </row>
    <row r="16" spans="1:52" ht="44.25" customHeight="1">
      <c r="A16" s="127" t="s">
        <v>10</v>
      </c>
      <c r="B16" s="128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7"/>
      <c r="AB16" s="37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>
        <v>141091.94</v>
      </c>
      <c r="AN16" s="38"/>
      <c r="AO16" s="38"/>
      <c r="AP16" s="38"/>
      <c r="AQ16" s="54">
        <v>123619.61</v>
      </c>
      <c r="AR16" s="54"/>
      <c r="AS16" s="54"/>
      <c r="AT16" s="54"/>
      <c r="AU16" s="53"/>
      <c r="AV16" s="53"/>
    </row>
    <row r="17" spans="1:48">
      <c r="A17" s="127" t="s">
        <v>7</v>
      </c>
      <c r="B17" s="128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7"/>
      <c r="AB17" s="37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54">
        <v>398490.97</v>
      </c>
      <c r="AR17" s="59"/>
      <c r="AS17" s="54"/>
      <c r="AT17" s="54"/>
      <c r="AU17" s="53"/>
      <c r="AV17" s="53"/>
    </row>
    <row r="18" spans="1:48" ht="27.6" customHeight="1">
      <c r="A18" s="127" t="s">
        <v>8</v>
      </c>
      <c r="B18" s="128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7"/>
      <c r="AB18" s="37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54">
        <v>194886.95</v>
      </c>
      <c r="AR18" s="88"/>
      <c r="AS18" s="54"/>
      <c r="AT18" s="54"/>
      <c r="AU18" s="53"/>
      <c r="AV18" s="53"/>
    </row>
    <row r="19" spans="1:48">
      <c r="A19" s="127" t="s">
        <v>9</v>
      </c>
      <c r="B19" s="128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7"/>
      <c r="AB19" s="37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>
        <v>15000</v>
      </c>
      <c r="AN19" s="38"/>
      <c r="AO19" s="38"/>
      <c r="AP19" s="38"/>
      <c r="AQ19" s="54"/>
      <c r="AR19" s="54"/>
      <c r="AS19" s="54"/>
      <c r="AT19" s="54"/>
      <c r="AU19" s="53"/>
      <c r="AV19" s="53"/>
    </row>
    <row r="20" spans="1:48">
      <c r="A20" s="127" t="s">
        <v>14</v>
      </c>
      <c r="B20" s="128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7"/>
      <c r="AB20" s="37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7"/>
      <c r="AN20" s="37"/>
      <c r="AO20" s="37"/>
      <c r="AP20" s="37"/>
      <c r="AQ20" s="54">
        <v>15000</v>
      </c>
      <c r="AR20" s="54"/>
      <c r="AS20" s="54"/>
      <c r="AT20" s="54"/>
      <c r="AU20" s="53"/>
      <c r="AV20" s="53"/>
    </row>
    <row r="21" spans="1:48">
      <c r="A21" s="129" t="s">
        <v>43</v>
      </c>
      <c r="B21" s="137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7"/>
      <c r="AB21" s="37"/>
      <c r="AC21" s="38"/>
      <c r="AD21" s="38"/>
      <c r="AE21" s="38"/>
      <c r="AF21" s="38"/>
      <c r="AG21" s="38"/>
      <c r="AH21" s="38"/>
      <c r="AI21" s="84">
        <f>AI22+AI23+AI24+AI25+AI26</f>
        <v>26697082.129999999</v>
      </c>
      <c r="AJ21" s="84">
        <f>AJ22+AJ23+AJ24+AJ25+AJ26</f>
        <v>0</v>
      </c>
      <c r="AK21" s="84">
        <f t="shared" ref="AK21:AL21" si="4">AK22+AK23+AK24+AK25+AK26</f>
        <v>0</v>
      </c>
      <c r="AL21" s="84">
        <f t="shared" si="4"/>
        <v>0</v>
      </c>
      <c r="AM21" s="84">
        <f>AM22+AM23+AM24+AM25+AM26</f>
        <v>7046213.1400000006</v>
      </c>
      <c r="AN21" s="84">
        <f>AN22+AN23+AN24+AN25+AN26</f>
        <v>0</v>
      </c>
      <c r="AO21" s="84">
        <f t="shared" ref="AO21:AP21" si="5">AO22+AO23+AO24+AO25+AO26</f>
        <v>0</v>
      </c>
      <c r="AP21" s="84">
        <f t="shared" si="5"/>
        <v>0</v>
      </c>
      <c r="AQ21" s="85">
        <f>AQ22+AQ23+AQ24+AQ25+AQ26</f>
        <v>594106.16</v>
      </c>
      <c r="AR21" s="85">
        <f>AR22+AR23+AR24+AR25+AR26</f>
        <v>0</v>
      </c>
      <c r="AS21" s="85">
        <f t="shared" ref="AS21:AT21" si="6">AS22+AS23+AS24+AS25+AS26</f>
        <v>0</v>
      </c>
      <c r="AT21" s="85">
        <f t="shared" si="6"/>
        <v>0</v>
      </c>
      <c r="AU21" s="52">
        <f>AQ21/AM21-1</f>
        <v>-0.91568433310264585</v>
      </c>
      <c r="AV21" s="53" t="e">
        <f>AS21/AO21-1</f>
        <v>#DIV/0!</v>
      </c>
    </row>
    <row r="22" spans="1:48" ht="42" customHeight="1">
      <c r="A22" s="127" t="s">
        <v>10</v>
      </c>
      <c r="B22" s="128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7"/>
      <c r="AB22" s="37"/>
      <c r="AC22" s="38"/>
      <c r="AD22" s="38"/>
      <c r="AE22" s="38"/>
      <c r="AF22" s="38"/>
      <c r="AG22" s="38"/>
      <c r="AH22" s="38"/>
      <c r="AI22" s="38">
        <f>25203858.74+194052.76</f>
        <v>25397911.5</v>
      </c>
      <c r="AJ22" s="38">
        <v>0</v>
      </c>
      <c r="AK22" s="38"/>
      <c r="AL22" s="38"/>
      <c r="AM22" s="38">
        <v>6735942.4500000002</v>
      </c>
      <c r="AN22" s="38"/>
      <c r="AO22" s="38"/>
      <c r="AP22" s="38"/>
      <c r="AQ22" s="54">
        <v>363256.87</v>
      </c>
      <c r="AR22" s="54"/>
      <c r="AS22" s="54"/>
      <c r="AT22" s="54"/>
      <c r="AU22" s="52"/>
      <c r="AV22" s="53"/>
    </row>
    <row r="23" spans="1:48">
      <c r="A23" s="127" t="s">
        <v>7</v>
      </c>
      <c r="B23" s="128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/>
      <c r="AB23" s="37"/>
      <c r="AC23" s="38"/>
      <c r="AD23" s="38"/>
      <c r="AE23" s="38"/>
      <c r="AF23" s="38"/>
      <c r="AG23" s="38"/>
      <c r="AH23" s="38"/>
      <c r="AI23" s="38">
        <v>1250280.08</v>
      </c>
      <c r="AJ23" s="38"/>
      <c r="AK23" s="38"/>
      <c r="AL23" s="38"/>
      <c r="AM23" s="38">
        <v>209315.95</v>
      </c>
      <c r="AN23" s="84"/>
      <c r="AO23" s="84"/>
      <c r="AP23" s="38"/>
      <c r="AQ23" s="54">
        <v>155330.99</v>
      </c>
      <c r="AR23" s="54"/>
      <c r="AS23" s="54"/>
      <c r="AT23" s="54"/>
      <c r="AU23" s="52"/>
      <c r="AV23" s="53"/>
    </row>
    <row r="24" spans="1:48" ht="31.2" customHeight="1">
      <c r="A24" s="127" t="s">
        <v>8</v>
      </c>
      <c r="B24" s="128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7"/>
      <c r="AB24" s="37"/>
      <c r="AC24" s="38"/>
      <c r="AD24" s="38"/>
      <c r="AE24" s="38"/>
      <c r="AF24" s="38"/>
      <c r="AG24" s="38"/>
      <c r="AH24" s="38"/>
      <c r="AI24" s="38">
        <v>48890.55</v>
      </c>
      <c r="AJ24" s="38"/>
      <c r="AK24" s="38"/>
      <c r="AL24" s="38"/>
      <c r="AM24" s="38">
        <v>100954.74</v>
      </c>
      <c r="AN24" s="84"/>
      <c r="AO24" s="84"/>
      <c r="AP24" s="38"/>
      <c r="AQ24" s="54">
        <v>75518.3</v>
      </c>
      <c r="AR24" s="54"/>
      <c r="AS24" s="54"/>
      <c r="AT24" s="54"/>
      <c r="AU24" s="52"/>
      <c r="AV24" s="53"/>
    </row>
    <row r="25" spans="1:48">
      <c r="A25" s="127" t="s">
        <v>9</v>
      </c>
      <c r="B25" s="128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7"/>
      <c r="AB25" s="37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84"/>
      <c r="AO25" s="84"/>
      <c r="AP25" s="38"/>
      <c r="AQ25" s="54"/>
      <c r="AR25" s="54"/>
      <c r="AS25" s="54"/>
      <c r="AT25" s="54"/>
      <c r="AU25" s="52"/>
      <c r="AV25" s="53"/>
    </row>
    <row r="26" spans="1:48">
      <c r="A26" s="127" t="s">
        <v>14</v>
      </c>
      <c r="B26" s="128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7"/>
      <c r="AB26" s="37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84"/>
      <c r="AO26" s="84"/>
      <c r="AP26" s="38"/>
      <c r="AQ26" s="54"/>
      <c r="AR26" s="54"/>
      <c r="AS26" s="54"/>
      <c r="AT26" s="54"/>
      <c r="AU26" s="52"/>
      <c r="AV26" s="53"/>
    </row>
    <row r="27" spans="1:48">
      <c r="A27" s="129" t="s">
        <v>44</v>
      </c>
      <c r="B27" s="137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7"/>
      <c r="AB27" s="37"/>
      <c r="AC27" s="38"/>
      <c r="AD27" s="38"/>
      <c r="AE27" s="38"/>
      <c r="AF27" s="38"/>
      <c r="AG27" s="38"/>
      <c r="AH27" s="38"/>
      <c r="AI27" s="84">
        <f>AI28+AI29+AI30+AI31+AI32</f>
        <v>6637461.5299999993</v>
      </c>
      <c r="AJ27" s="84">
        <f t="shared" ref="AJ27:AL27" si="7">AJ28+AJ29+AJ30+AJ31+AJ32</f>
        <v>0</v>
      </c>
      <c r="AK27" s="84">
        <v>0</v>
      </c>
      <c r="AL27" s="84">
        <f t="shared" si="7"/>
        <v>0</v>
      </c>
      <c r="AM27" s="84">
        <f>AM28+AM29+AM30+AM31+AM32</f>
        <v>9950491.6699999981</v>
      </c>
      <c r="AN27" s="84">
        <f t="shared" ref="AN27:AT27" si="8">AN28+AN29+AN30+AN31+AN32</f>
        <v>7551208.0300000003</v>
      </c>
      <c r="AO27" s="84">
        <f t="shared" si="8"/>
        <v>0</v>
      </c>
      <c r="AP27" s="84">
        <f t="shared" si="8"/>
        <v>0</v>
      </c>
      <c r="AQ27" s="85">
        <f>AQ28+AQ29+AQ30+AQ31+AQ32</f>
        <v>10036866.059999999</v>
      </c>
      <c r="AR27" s="85">
        <f t="shared" si="8"/>
        <v>7551208.0300000003</v>
      </c>
      <c r="AS27" s="85">
        <f t="shared" si="8"/>
        <v>7551208.0300000003</v>
      </c>
      <c r="AT27" s="85">
        <f t="shared" si="8"/>
        <v>7551208.0300000003</v>
      </c>
      <c r="AU27" s="52">
        <f>AQ27/AM27-1</f>
        <v>8.6804142814784768E-3</v>
      </c>
      <c r="AV27" s="52" t="e">
        <f>AS27/AO27-1</f>
        <v>#DIV/0!</v>
      </c>
    </row>
    <row r="28" spans="1:48" ht="42" customHeight="1">
      <c r="A28" s="127" t="s">
        <v>10</v>
      </c>
      <c r="B28" s="128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7"/>
      <c r="AB28" s="37"/>
      <c r="AC28" s="38"/>
      <c r="AD28" s="38"/>
      <c r="AE28" s="38"/>
      <c r="AF28" s="38"/>
      <c r="AG28" s="38"/>
      <c r="AH28" s="38"/>
      <c r="AI28" s="38">
        <v>6054851.5499999998</v>
      </c>
      <c r="AJ28" s="38"/>
      <c r="AK28" s="38">
        <v>0</v>
      </c>
      <c r="AL28" s="38"/>
      <c r="AM28" s="38">
        <v>9699259.0299999993</v>
      </c>
      <c r="AN28" s="38">
        <v>7551208.0300000003</v>
      </c>
      <c r="AO28" s="38"/>
      <c r="AP28" s="38"/>
      <c r="AQ28" s="54">
        <v>9658465.8300000001</v>
      </c>
      <c r="AR28" s="54">
        <v>7551208.0300000003</v>
      </c>
      <c r="AS28" s="54">
        <v>7551208.0300000003</v>
      </c>
      <c r="AT28" s="54">
        <v>7551208.0300000003</v>
      </c>
      <c r="AU28" s="53"/>
      <c r="AV28" s="53"/>
    </row>
    <row r="29" spans="1:48">
      <c r="A29" s="127" t="s">
        <v>7</v>
      </c>
      <c r="B29" s="128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7"/>
      <c r="AB29" s="37"/>
      <c r="AC29" s="38"/>
      <c r="AD29" s="38"/>
      <c r="AE29" s="38"/>
      <c r="AF29" s="38"/>
      <c r="AG29" s="38"/>
      <c r="AH29" s="38"/>
      <c r="AI29" s="38">
        <v>433698.23</v>
      </c>
      <c r="AJ29" s="38"/>
      <c r="AK29" s="38"/>
      <c r="AL29" s="38"/>
      <c r="AM29" s="38">
        <v>119374.78</v>
      </c>
      <c r="AN29" s="84"/>
      <c r="AO29" s="84"/>
      <c r="AP29" s="38"/>
      <c r="AQ29" s="54">
        <v>250550.94</v>
      </c>
      <c r="AR29" s="54"/>
      <c r="AS29" s="54"/>
      <c r="AT29" s="54"/>
      <c r="AU29" s="53"/>
      <c r="AV29" s="53"/>
    </row>
    <row r="30" spans="1:48" ht="29.4" customHeight="1">
      <c r="A30" s="127" t="s">
        <v>8</v>
      </c>
      <c r="B30" s="128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7"/>
      <c r="AB30" s="37"/>
      <c r="AC30" s="38"/>
      <c r="AD30" s="38"/>
      <c r="AE30" s="38"/>
      <c r="AF30" s="38"/>
      <c r="AG30" s="38"/>
      <c r="AH30" s="38"/>
      <c r="AI30" s="38">
        <v>148911.75</v>
      </c>
      <c r="AJ30" s="38"/>
      <c r="AK30" s="38"/>
      <c r="AL30" s="38"/>
      <c r="AM30" s="38">
        <v>131857.85999999999</v>
      </c>
      <c r="AN30" s="84"/>
      <c r="AO30" s="84"/>
      <c r="AP30" s="38"/>
      <c r="AQ30" s="54">
        <v>127849.29</v>
      </c>
      <c r="AR30" s="54"/>
      <c r="AS30" s="54"/>
      <c r="AT30" s="54"/>
      <c r="AU30" s="53"/>
      <c r="AV30" s="53"/>
    </row>
    <row r="31" spans="1:48">
      <c r="A31" s="127" t="s">
        <v>9</v>
      </c>
      <c r="B31" s="128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7"/>
      <c r="AB31" s="37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84"/>
      <c r="AO31" s="84"/>
      <c r="AP31" s="38"/>
      <c r="AQ31" s="54"/>
      <c r="AR31" s="54"/>
      <c r="AS31" s="54"/>
      <c r="AT31" s="54"/>
      <c r="AU31" s="53"/>
      <c r="AV31" s="53"/>
    </row>
    <row r="32" spans="1:48">
      <c r="A32" s="127" t="s">
        <v>14</v>
      </c>
      <c r="B32" s="128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7"/>
      <c r="AB32" s="37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84"/>
      <c r="AO32" s="84"/>
      <c r="AP32" s="38"/>
      <c r="AQ32" s="54"/>
      <c r="AR32" s="54"/>
      <c r="AS32" s="54"/>
      <c r="AT32" s="54"/>
      <c r="AU32" s="53"/>
      <c r="AV32" s="53"/>
    </row>
    <row r="33" spans="1:48">
      <c r="A33" s="129" t="s">
        <v>45</v>
      </c>
      <c r="B33" s="130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7"/>
      <c r="AB33" s="37"/>
      <c r="AC33" s="38"/>
      <c r="AD33" s="38"/>
      <c r="AE33" s="38"/>
      <c r="AF33" s="38"/>
      <c r="AG33" s="38"/>
      <c r="AH33" s="38"/>
      <c r="AI33" s="84">
        <f t="shared" ref="AI33:AT33" si="9">AI34+AI35+AI36+AI37+AI38</f>
        <v>397801.93</v>
      </c>
      <c r="AJ33" s="84">
        <f t="shared" si="9"/>
        <v>0</v>
      </c>
      <c r="AK33" s="84">
        <f t="shared" si="9"/>
        <v>0</v>
      </c>
      <c r="AL33" s="84">
        <f t="shared" si="9"/>
        <v>0</v>
      </c>
      <c r="AM33" s="84">
        <f t="shared" si="9"/>
        <v>1912.76</v>
      </c>
      <c r="AN33" s="84">
        <f t="shared" si="9"/>
        <v>0</v>
      </c>
      <c r="AO33" s="84">
        <f t="shared" si="9"/>
        <v>0</v>
      </c>
      <c r="AP33" s="84">
        <f t="shared" si="9"/>
        <v>0</v>
      </c>
      <c r="AQ33" s="85">
        <f t="shared" si="9"/>
        <v>3661051.35</v>
      </c>
      <c r="AR33" s="85">
        <f t="shared" si="9"/>
        <v>0</v>
      </c>
      <c r="AS33" s="85">
        <f t="shared" si="9"/>
        <v>0</v>
      </c>
      <c r="AT33" s="85">
        <f t="shared" si="9"/>
        <v>0</v>
      </c>
      <c r="AU33" s="52">
        <f>AQ33/AM33-1</f>
        <v>1913.0150097241683</v>
      </c>
      <c r="AV33" s="52" t="e">
        <f>AS33/AO33-1</f>
        <v>#DIV/0!</v>
      </c>
    </row>
    <row r="34" spans="1:48" ht="42" customHeight="1">
      <c r="A34" s="127" t="s">
        <v>10</v>
      </c>
      <c r="B34" s="128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7"/>
      <c r="AB34" s="37"/>
      <c r="AC34" s="38"/>
      <c r="AD34" s="38"/>
      <c r="AE34" s="38"/>
      <c r="AF34" s="38"/>
      <c r="AG34" s="38"/>
      <c r="AH34" s="38"/>
      <c r="AI34" s="38">
        <v>14976.62</v>
      </c>
      <c r="AJ34" s="38"/>
      <c r="AK34" s="38"/>
      <c r="AL34" s="38"/>
      <c r="AM34" s="38">
        <v>1912.76</v>
      </c>
      <c r="AN34" s="38"/>
      <c r="AO34" s="84"/>
      <c r="AP34" s="84"/>
      <c r="AQ34" s="54">
        <v>3142811.28</v>
      </c>
      <c r="AR34" s="85"/>
      <c r="AS34" s="85"/>
      <c r="AT34" s="85"/>
      <c r="AU34" s="53"/>
      <c r="AV34" s="53"/>
    </row>
    <row r="35" spans="1:48">
      <c r="A35" s="127" t="s">
        <v>7</v>
      </c>
      <c r="B35" s="128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7"/>
      <c r="AB35" s="37"/>
      <c r="AC35" s="38"/>
      <c r="AD35" s="38"/>
      <c r="AE35" s="38"/>
      <c r="AF35" s="38"/>
      <c r="AG35" s="38"/>
      <c r="AH35" s="38"/>
      <c r="AI35" s="38">
        <v>228134.86</v>
      </c>
      <c r="AJ35" s="38"/>
      <c r="AK35" s="38"/>
      <c r="AL35" s="38"/>
      <c r="AM35" s="37"/>
      <c r="AN35" s="40"/>
      <c r="AO35" s="40"/>
      <c r="AP35" s="40"/>
      <c r="AQ35" s="54">
        <v>332546.84999999998</v>
      </c>
      <c r="AR35" s="85"/>
      <c r="AS35" s="85"/>
      <c r="AT35" s="85"/>
      <c r="AU35" s="53"/>
      <c r="AV35" s="53"/>
    </row>
    <row r="36" spans="1:48" ht="31.2" customHeight="1">
      <c r="A36" s="127" t="s">
        <v>8</v>
      </c>
      <c r="B36" s="128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7"/>
      <c r="AB36" s="37"/>
      <c r="AC36" s="38"/>
      <c r="AD36" s="38"/>
      <c r="AE36" s="38"/>
      <c r="AF36" s="38"/>
      <c r="AG36" s="38"/>
      <c r="AH36" s="38"/>
      <c r="AI36" s="38">
        <v>154690.45000000001</v>
      </c>
      <c r="AJ36" s="38"/>
      <c r="AK36" s="38"/>
      <c r="AL36" s="38"/>
      <c r="AM36" s="37"/>
      <c r="AN36" s="40"/>
      <c r="AO36" s="40"/>
      <c r="AP36" s="40"/>
      <c r="AQ36" s="54">
        <v>185693.22</v>
      </c>
      <c r="AR36" s="85"/>
      <c r="AS36" s="85"/>
      <c r="AT36" s="85"/>
      <c r="AU36" s="53"/>
      <c r="AV36" s="53"/>
    </row>
    <row r="37" spans="1:48">
      <c r="A37" s="127" t="s">
        <v>9</v>
      </c>
      <c r="B37" s="128"/>
      <c r="C37" s="83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7"/>
      <c r="AB37" s="37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7"/>
      <c r="AN37" s="40"/>
      <c r="AO37" s="40"/>
      <c r="AP37" s="40"/>
      <c r="AQ37" s="85"/>
      <c r="AR37" s="85"/>
      <c r="AS37" s="85"/>
      <c r="AT37" s="85"/>
      <c r="AU37" s="53"/>
      <c r="AV37" s="53"/>
    </row>
    <row r="38" spans="1:48">
      <c r="A38" s="127" t="s">
        <v>14</v>
      </c>
      <c r="B38" s="128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7"/>
      <c r="AB38" s="37"/>
      <c r="AC38" s="38"/>
      <c r="AD38" s="38"/>
      <c r="AE38" s="38"/>
      <c r="AF38" s="38"/>
      <c r="AG38" s="38"/>
      <c r="AH38" s="38"/>
      <c r="AI38" s="37"/>
      <c r="AJ38" s="37"/>
      <c r="AK38" s="37"/>
      <c r="AL38" s="37"/>
      <c r="AM38" s="40"/>
      <c r="AN38" s="40"/>
      <c r="AO38" s="40"/>
      <c r="AP38" s="40"/>
      <c r="AQ38" s="85"/>
      <c r="AR38" s="85"/>
      <c r="AS38" s="85"/>
      <c r="AT38" s="85"/>
      <c r="AU38" s="53"/>
      <c r="AV38" s="53"/>
    </row>
    <row r="39" spans="1:48">
      <c r="A39" s="129" t="s">
        <v>48</v>
      </c>
      <c r="B39" s="137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7"/>
      <c r="AB39" s="37"/>
      <c r="AC39" s="38"/>
      <c r="AD39" s="38"/>
      <c r="AE39" s="38"/>
      <c r="AF39" s="38"/>
      <c r="AG39" s="38"/>
      <c r="AH39" s="38"/>
      <c r="AI39" s="37"/>
      <c r="AJ39" s="37"/>
      <c r="AK39" s="37"/>
      <c r="AL39" s="37"/>
      <c r="AM39" s="84">
        <f t="shared" ref="AM39:AT39" si="10">AM40+AM41+AM42+AM43+AM44</f>
        <v>11098207.4</v>
      </c>
      <c r="AN39" s="84">
        <f t="shared" si="10"/>
        <v>0</v>
      </c>
      <c r="AO39" s="84">
        <f t="shared" si="10"/>
        <v>0</v>
      </c>
      <c r="AP39" s="84">
        <f t="shared" si="10"/>
        <v>0</v>
      </c>
      <c r="AQ39" s="85">
        <f t="shared" si="10"/>
        <v>7544364</v>
      </c>
      <c r="AR39" s="85">
        <f t="shared" si="10"/>
        <v>8440500</v>
      </c>
      <c r="AS39" s="85">
        <f t="shared" si="10"/>
        <v>0</v>
      </c>
      <c r="AT39" s="85">
        <f t="shared" si="10"/>
        <v>0</v>
      </c>
      <c r="AU39" s="52">
        <f>AQ39/AM39-1</f>
        <v>-0.32021778580205662</v>
      </c>
      <c r="AV39" s="53" t="e">
        <f>AS39/AO39-1</f>
        <v>#DIV/0!</v>
      </c>
    </row>
    <row r="40" spans="1:48" ht="42.6" customHeight="1">
      <c r="A40" s="127" t="s">
        <v>10</v>
      </c>
      <c r="B40" s="128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7"/>
      <c r="AB40" s="37"/>
      <c r="AC40" s="38"/>
      <c r="AD40" s="38"/>
      <c r="AE40" s="38"/>
      <c r="AF40" s="38"/>
      <c r="AG40" s="38"/>
      <c r="AH40" s="38"/>
      <c r="AI40" s="37"/>
      <c r="AJ40" s="37"/>
      <c r="AK40" s="37"/>
      <c r="AL40" s="37"/>
      <c r="AM40" s="38">
        <v>9947930.2799999993</v>
      </c>
      <c r="AN40" s="84"/>
      <c r="AO40" s="84"/>
      <c r="AP40" s="84"/>
      <c r="AQ40" s="54">
        <v>5953705.1200000001</v>
      </c>
      <c r="AR40" s="54">
        <v>8440500</v>
      </c>
      <c r="AS40" s="85"/>
      <c r="AT40" s="85"/>
      <c r="AU40" s="53"/>
      <c r="AV40" s="53"/>
    </row>
    <row r="41" spans="1:48">
      <c r="A41" s="127" t="s">
        <v>7</v>
      </c>
      <c r="B41" s="128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7"/>
      <c r="AB41" s="37"/>
      <c r="AC41" s="38"/>
      <c r="AD41" s="38"/>
      <c r="AE41" s="38"/>
      <c r="AF41" s="38"/>
      <c r="AG41" s="38"/>
      <c r="AH41" s="38"/>
      <c r="AI41" s="37"/>
      <c r="AJ41" s="37"/>
      <c r="AK41" s="37"/>
      <c r="AL41" s="37"/>
      <c r="AM41" s="38">
        <v>1001348.74</v>
      </c>
      <c r="AN41" s="84"/>
      <c r="AO41" s="84"/>
      <c r="AP41" s="84"/>
      <c r="AQ41" s="54">
        <v>1079147.0900000001</v>
      </c>
      <c r="AR41" s="85"/>
      <c r="AS41" s="85"/>
      <c r="AT41" s="85"/>
      <c r="AU41" s="53"/>
      <c r="AV41" s="53"/>
    </row>
    <row r="42" spans="1:48" ht="28.8" customHeight="1">
      <c r="A42" s="127" t="s">
        <v>8</v>
      </c>
      <c r="B42" s="128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7"/>
      <c r="AB42" s="37"/>
      <c r="AC42" s="38"/>
      <c r="AD42" s="38"/>
      <c r="AE42" s="38"/>
      <c r="AF42" s="38"/>
      <c r="AG42" s="38"/>
      <c r="AH42" s="38"/>
      <c r="AI42" s="37"/>
      <c r="AJ42" s="37"/>
      <c r="AK42" s="37"/>
      <c r="AL42" s="37"/>
      <c r="AM42" s="38">
        <v>148928.38</v>
      </c>
      <c r="AN42" s="84"/>
      <c r="AO42" s="84"/>
      <c r="AP42" s="84"/>
      <c r="AQ42" s="54">
        <v>511511.79</v>
      </c>
      <c r="AR42" s="85"/>
      <c r="AS42" s="85"/>
      <c r="AT42" s="85"/>
      <c r="AU42" s="53"/>
      <c r="AV42" s="53"/>
    </row>
    <row r="43" spans="1:48">
      <c r="A43" s="127" t="s">
        <v>9</v>
      </c>
      <c r="B43" s="128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7"/>
      <c r="AB43" s="37"/>
      <c r="AC43" s="38"/>
      <c r="AD43" s="38"/>
      <c r="AE43" s="38"/>
      <c r="AF43" s="38"/>
      <c r="AG43" s="38"/>
      <c r="AH43" s="38"/>
      <c r="AI43" s="37"/>
      <c r="AJ43" s="37"/>
      <c r="AK43" s="37"/>
      <c r="AL43" s="37"/>
      <c r="AM43" s="84"/>
      <c r="AN43" s="84"/>
      <c r="AO43" s="84"/>
      <c r="AP43" s="84"/>
      <c r="AQ43" s="85"/>
      <c r="AR43" s="85"/>
      <c r="AS43" s="85"/>
      <c r="AT43" s="85"/>
      <c r="AU43" s="53"/>
      <c r="AV43" s="53"/>
    </row>
    <row r="44" spans="1:48">
      <c r="A44" s="127" t="s">
        <v>14</v>
      </c>
      <c r="B44" s="128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7"/>
      <c r="AB44" s="37"/>
      <c r="AC44" s="38"/>
      <c r="AD44" s="38"/>
      <c r="AE44" s="38"/>
      <c r="AF44" s="38"/>
      <c r="AG44" s="38"/>
      <c r="AH44" s="38"/>
      <c r="AI44" s="37"/>
      <c r="AJ44" s="37"/>
      <c r="AK44" s="37"/>
      <c r="AL44" s="37"/>
      <c r="AM44" s="84"/>
      <c r="AN44" s="84"/>
      <c r="AO44" s="84"/>
      <c r="AP44" s="84"/>
      <c r="AQ44" s="85"/>
      <c r="AR44" s="85"/>
      <c r="AS44" s="85"/>
      <c r="AT44" s="85"/>
      <c r="AU44" s="53"/>
      <c r="AV44" s="53"/>
    </row>
    <row r="45" spans="1:48" ht="27.6" customHeight="1">
      <c r="A45" s="129" t="s">
        <v>47</v>
      </c>
      <c r="B45" s="130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7"/>
      <c r="AB45" s="37"/>
      <c r="AC45" s="38"/>
      <c r="AD45" s="38"/>
      <c r="AE45" s="38"/>
      <c r="AF45" s="38"/>
      <c r="AG45" s="38"/>
      <c r="AH45" s="38"/>
      <c r="AI45" s="37"/>
      <c r="AJ45" s="37"/>
      <c r="AK45" s="37"/>
      <c r="AL45" s="37"/>
      <c r="AM45" s="84">
        <f t="shared" ref="AM45:AT45" si="11">AM46+AM47+AM48+AM49+AM50</f>
        <v>197302.94999999998</v>
      </c>
      <c r="AN45" s="84">
        <f t="shared" si="11"/>
        <v>0</v>
      </c>
      <c r="AO45" s="84">
        <f t="shared" si="11"/>
        <v>0</v>
      </c>
      <c r="AP45" s="84">
        <f t="shared" si="11"/>
        <v>0</v>
      </c>
      <c r="AQ45" s="85">
        <f t="shared" si="11"/>
        <v>338538.76</v>
      </c>
      <c r="AR45" s="85">
        <f t="shared" si="11"/>
        <v>0</v>
      </c>
      <c r="AS45" s="85">
        <f t="shared" si="11"/>
        <v>0</v>
      </c>
      <c r="AT45" s="85">
        <f t="shared" si="11"/>
        <v>0</v>
      </c>
      <c r="AU45" s="52">
        <f>AQ45/AM45-1</f>
        <v>0.71583222653285228</v>
      </c>
      <c r="AV45" s="53" t="e">
        <f>AS45/AO45-1</f>
        <v>#DIV/0!</v>
      </c>
    </row>
    <row r="46" spans="1:48" ht="43.8" customHeight="1">
      <c r="A46" s="127" t="s">
        <v>10</v>
      </c>
      <c r="B46" s="128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7"/>
      <c r="AB46" s="37"/>
      <c r="AC46" s="38"/>
      <c r="AD46" s="38"/>
      <c r="AE46" s="38"/>
      <c r="AF46" s="38"/>
      <c r="AG46" s="38"/>
      <c r="AH46" s="38"/>
      <c r="AI46" s="37"/>
      <c r="AJ46" s="37"/>
      <c r="AK46" s="37"/>
      <c r="AL46" s="37"/>
      <c r="AM46" s="38">
        <v>11132.85</v>
      </c>
      <c r="AN46" s="38"/>
      <c r="AO46" s="38"/>
      <c r="AP46" s="38"/>
      <c r="AQ46" s="54">
        <v>66600.41</v>
      </c>
      <c r="AR46" s="54"/>
      <c r="AS46" s="54"/>
      <c r="AT46" s="54"/>
      <c r="AU46" s="53"/>
      <c r="AV46" s="53"/>
    </row>
    <row r="47" spans="1:48">
      <c r="A47" s="127" t="s">
        <v>7</v>
      </c>
      <c r="B47" s="128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7"/>
      <c r="AB47" s="37"/>
      <c r="AC47" s="38"/>
      <c r="AD47" s="38"/>
      <c r="AE47" s="38"/>
      <c r="AF47" s="38"/>
      <c r="AG47" s="38"/>
      <c r="AH47" s="38"/>
      <c r="AI47" s="37"/>
      <c r="AJ47" s="37"/>
      <c r="AK47" s="37"/>
      <c r="AL47" s="37"/>
      <c r="AM47" s="38">
        <v>123478.26</v>
      </c>
      <c r="AN47" s="38"/>
      <c r="AO47" s="38"/>
      <c r="AP47" s="38"/>
      <c r="AQ47" s="54">
        <v>186818.86</v>
      </c>
      <c r="AR47" s="54"/>
      <c r="AS47" s="54"/>
      <c r="AT47" s="54"/>
      <c r="AU47" s="53"/>
      <c r="AV47" s="53"/>
    </row>
    <row r="48" spans="1:48" ht="30.6" customHeight="1">
      <c r="A48" s="127" t="s">
        <v>8</v>
      </c>
      <c r="B48" s="128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7"/>
      <c r="AB48" s="37"/>
      <c r="AC48" s="38"/>
      <c r="AD48" s="38"/>
      <c r="AE48" s="38"/>
      <c r="AF48" s="38"/>
      <c r="AG48" s="38"/>
      <c r="AH48" s="38"/>
      <c r="AI48" s="37"/>
      <c r="AJ48" s="37"/>
      <c r="AK48" s="37"/>
      <c r="AL48" s="37"/>
      <c r="AM48" s="38">
        <v>62691.839999999997</v>
      </c>
      <c r="AN48" s="38"/>
      <c r="AO48" s="38"/>
      <c r="AP48" s="38"/>
      <c r="AQ48" s="54">
        <v>85119.49</v>
      </c>
      <c r="AR48" s="54"/>
      <c r="AS48" s="54"/>
      <c r="AT48" s="54"/>
      <c r="AU48" s="53"/>
      <c r="AV48" s="53"/>
    </row>
    <row r="49" spans="1:51">
      <c r="A49" s="127" t="s">
        <v>9</v>
      </c>
      <c r="B49" s="128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7"/>
      <c r="AB49" s="37"/>
      <c r="AC49" s="38"/>
      <c r="AD49" s="38"/>
      <c r="AE49" s="38"/>
      <c r="AF49" s="38"/>
      <c r="AG49" s="38"/>
      <c r="AH49" s="38"/>
      <c r="AI49" s="37"/>
      <c r="AJ49" s="37"/>
      <c r="AK49" s="37"/>
      <c r="AL49" s="37"/>
      <c r="AM49" s="38"/>
      <c r="AN49" s="38"/>
      <c r="AO49" s="38"/>
      <c r="AP49" s="38"/>
      <c r="AQ49" s="54"/>
      <c r="AR49" s="54"/>
      <c r="AS49" s="54"/>
      <c r="AT49" s="54"/>
      <c r="AU49" s="53"/>
      <c r="AV49" s="53"/>
    </row>
    <row r="50" spans="1:51">
      <c r="A50" s="127" t="s">
        <v>14</v>
      </c>
      <c r="B50" s="128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7"/>
      <c r="AB50" s="37"/>
      <c r="AC50" s="38"/>
      <c r="AD50" s="38"/>
      <c r="AE50" s="38"/>
      <c r="AF50" s="38"/>
      <c r="AG50" s="38"/>
      <c r="AH50" s="38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9"/>
      <c r="AV50" s="39"/>
    </row>
    <row r="51" spans="1:51">
      <c r="A51" s="139" t="s">
        <v>1</v>
      </c>
      <c r="B51" s="140"/>
      <c r="C51" s="138">
        <f>SUM(C53:C57)</f>
        <v>0</v>
      </c>
      <c r="D51" s="138">
        <f>SUM(D53:D57)</f>
        <v>0</v>
      </c>
      <c r="E51" s="138">
        <f t="shared" ref="E51:AD51" si="12">SUM(E53:E57)</f>
        <v>35747.5</v>
      </c>
      <c r="F51" s="138">
        <f t="shared" si="12"/>
        <v>0</v>
      </c>
      <c r="G51" s="138">
        <f t="shared" si="12"/>
        <v>0</v>
      </c>
      <c r="H51" s="138">
        <f t="shared" si="12"/>
        <v>0</v>
      </c>
      <c r="I51" s="138">
        <f t="shared" si="12"/>
        <v>0</v>
      </c>
      <c r="J51" s="138">
        <f t="shared" si="12"/>
        <v>0</v>
      </c>
      <c r="K51" s="138">
        <f t="shared" si="12"/>
        <v>120756.41</v>
      </c>
      <c r="L51" s="138">
        <f t="shared" si="12"/>
        <v>0</v>
      </c>
      <c r="M51" s="138">
        <f t="shared" si="12"/>
        <v>144077.24</v>
      </c>
      <c r="N51" s="138">
        <f t="shared" si="12"/>
        <v>0</v>
      </c>
      <c r="O51" s="138">
        <f t="shared" si="12"/>
        <v>122267.09</v>
      </c>
      <c r="P51" s="138">
        <f t="shared" si="12"/>
        <v>0</v>
      </c>
      <c r="Q51" s="138">
        <f t="shared" si="12"/>
        <v>81760.240000000005</v>
      </c>
      <c r="R51" s="138">
        <f t="shared" si="12"/>
        <v>0</v>
      </c>
      <c r="S51" s="138">
        <f t="shared" si="12"/>
        <v>68067.33</v>
      </c>
      <c r="T51" s="138">
        <f t="shared" si="12"/>
        <v>0</v>
      </c>
      <c r="U51" s="138">
        <f t="shared" si="12"/>
        <v>61711.68</v>
      </c>
      <c r="V51" s="138">
        <f t="shared" si="12"/>
        <v>0</v>
      </c>
      <c r="W51" s="138">
        <f t="shared" si="12"/>
        <v>0</v>
      </c>
      <c r="X51" s="138">
        <f t="shared" si="12"/>
        <v>0</v>
      </c>
      <c r="Y51" s="138">
        <f t="shared" si="12"/>
        <v>217.78</v>
      </c>
      <c r="Z51" s="138">
        <f t="shared" si="12"/>
        <v>0</v>
      </c>
      <c r="AA51" s="145">
        <f t="shared" si="12"/>
        <v>187710.37</v>
      </c>
      <c r="AB51" s="145">
        <f t="shared" si="12"/>
        <v>0</v>
      </c>
      <c r="AC51" s="145">
        <f t="shared" si="12"/>
        <v>333233.98</v>
      </c>
      <c r="AD51" s="145">
        <f t="shared" si="12"/>
        <v>0</v>
      </c>
      <c r="AE51" s="125">
        <f t="shared" ref="AE51:AT51" si="13">AE53+AE54+AE55+AE56+AE57</f>
        <v>797761.55</v>
      </c>
      <c r="AF51" s="125">
        <f t="shared" si="13"/>
        <v>0</v>
      </c>
      <c r="AG51" s="125">
        <v>0</v>
      </c>
      <c r="AH51" s="125">
        <f t="shared" si="13"/>
        <v>0</v>
      </c>
      <c r="AI51" s="125">
        <f t="shared" si="13"/>
        <v>177719.41</v>
      </c>
      <c r="AJ51" s="125">
        <f t="shared" si="13"/>
        <v>0</v>
      </c>
      <c r="AK51" s="125">
        <f t="shared" si="13"/>
        <v>0</v>
      </c>
      <c r="AL51" s="125">
        <f t="shared" si="13"/>
        <v>0</v>
      </c>
      <c r="AM51" s="125">
        <f t="shared" si="13"/>
        <v>37932.990000000005</v>
      </c>
      <c r="AN51" s="125">
        <f t="shared" si="13"/>
        <v>0</v>
      </c>
      <c r="AO51" s="125">
        <f t="shared" si="13"/>
        <v>0</v>
      </c>
      <c r="AP51" s="125">
        <f t="shared" si="13"/>
        <v>0</v>
      </c>
      <c r="AQ51" s="150">
        <f t="shared" si="13"/>
        <v>676906.4</v>
      </c>
      <c r="AR51" s="150">
        <f t="shared" si="13"/>
        <v>0</v>
      </c>
      <c r="AS51" s="150">
        <f t="shared" si="13"/>
        <v>0</v>
      </c>
      <c r="AT51" s="150">
        <f t="shared" si="13"/>
        <v>0</v>
      </c>
      <c r="AU51" s="143">
        <f>AQ51/AM51-1</f>
        <v>16.844794201564387</v>
      </c>
      <c r="AV51" s="143" t="e">
        <f>AS51/AO51-1</f>
        <v>#DIV/0!</v>
      </c>
    </row>
    <row r="52" spans="1:51" ht="6.6" customHeight="1">
      <c r="A52" s="141"/>
      <c r="B52" s="142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32"/>
      <c r="AB52" s="132"/>
      <c r="AC52" s="132"/>
      <c r="AD52" s="132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51"/>
      <c r="AR52" s="151"/>
      <c r="AS52" s="151"/>
      <c r="AT52" s="151"/>
      <c r="AU52" s="144"/>
      <c r="AV52" s="144"/>
    </row>
    <row r="53" spans="1:51" ht="42" customHeight="1">
      <c r="A53" s="127" t="s">
        <v>10</v>
      </c>
      <c r="B53" s="128"/>
      <c r="C53" s="2"/>
      <c r="D53" s="2"/>
      <c r="E53" s="2">
        <v>35747.5</v>
      </c>
      <c r="F53" s="2"/>
      <c r="G53" s="2"/>
      <c r="H53" s="2"/>
      <c r="I53" s="2"/>
      <c r="J53" s="2"/>
      <c r="K53" s="2">
        <v>120756.41</v>
      </c>
      <c r="L53" s="2"/>
      <c r="M53" s="2">
        <v>144077.24</v>
      </c>
      <c r="N53" s="2"/>
      <c r="O53" s="2">
        <v>122267.09</v>
      </c>
      <c r="P53" s="2"/>
      <c r="Q53" s="2">
        <v>67770.240000000005</v>
      </c>
      <c r="R53" s="2"/>
      <c r="S53" s="2">
        <f>65281.19+2786.14</f>
        <v>68067.33</v>
      </c>
      <c r="T53" s="2"/>
      <c r="U53" s="2">
        <v>61711.68</v>
      </c>
      <c r="V53" s="2"/>
      <c r="W53" s="2"/>
      <c r="X53" s="2"/>
      <c r="Y53" s="2">
        <v>217.78</v>
      </c>
      <c r="Z53" s="2"/>
      <c r="AA53" s="16">
        <v>35</v>
      </c>
      <c r="AB53" s="16"/>
      <c r="AC53" s="16">
        <f>27611.35+117602.07</f>
        <v>145213.42000000001</v>
      </c>
      <c r="AD53" s="13"/>
      <c r="AE53" s="16">
        <f>30567.15+190377.23</f>
        <v>220944.38</v>
      </c>
      <c r="AF53" s="16"/>
      <c r="AG53" s="16"/>
      <c r="AH53" s="16"/>
      <c r="AI53" s="16">
        <f>73933.92+103785.49</f>
        <v>177719.41</v>
      </c>
      <c r="AJ53" s="16"/>
      <c r="AK53" s="16"/>
      <c r="AL53" s="16"/>
      <c r="AM53" s="16">
        <f>5043.12+32889.87</f>
        <v>37932.990000000005</v>
      </c>
      <c r="AN53" s="16"/>
      <c r="AO53" s="16"/>
      <c r="AP53" s="16"/>
      <c r="AQ53" s="23">
        <f>5580.68+315949.12</f>
        <v>321529.8</v>
      </c>
      <c r="AR53" s="23"/>
      <c r="AS53" s="23"/>
      <c r="AT53" s="23"/>
      <c r="AU53" s="17"/>
      <c r="AV53" s="17"/>
    </row>
    <row r="54" spans="1:51">
      <c r="A54" s="127" t="s">
        <v>7</v>
      </c>
      <c r="B54" s="128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16">
        <v>172262.37</v>
      </c>
      <c r="AB54" s="16"/>
      <c r="AC54" s="16">
        <v>188020.56</v>
      </c>
      <c r="AD54" s="13"/>
      <c r="AE54" s="16">
        <v>372715</v>
      </c>
      <c r="AF54" s="16"/>
      <c r="AG54" s="16"/>
      <c r="AH54" s="16"/>
      <c r="AI54" s="13"/>
      <c r="AJ54" s="13"/>
      <c r="AK54" s="13"/>
      <c r="AL54" s="13"/>
      <c r="AM54" s="16"/>
      <c r="AN54" s="16"/>
      <c r="AO54" s="16"/>
      <c r="AP54" s="16"/>
      <c r="AQ54" s="23">
        <v>233607.21</v>
      </c>
      <c r="AR54" s="23"/>
      <c r="AS54" s="23"/>
      <c r="AT54" s="23"/>
      <c r="AU54" s="17"/>
      <c r="AV54" s="17"/>
    </row>
    <row r="55" spans="1:51" ht="27.6" customHeight="1">
      <c r="A55" s="127" t="s">
        <v>8</v>
      </c>
      <c r="B55" s="12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16"/>
      <c r="AB55" s="16"/>
      <c r="AC55" s="13"/>
      <c r="AD55" s="13"/>
      <c r="AE55" s="16"/>
      <c r="AF55" s="16"/>
      <c r="AG55" s="16"/>
      <c r="AH55" s="16"/>
      <c r="AI55" s="13"/>
      <c r="AJ55" s="13"/>
      <c r="AK55" s="13"/>
      <c r="AL55" s="13"/>
      <c r="AM55" s="13"/>
      <c r="AN55" s="13"/>
      <c r="AO55" s="13"/>
      <c r="AP55" s="13"/>
      <c r="AQ55" s="23">
        <v>121769.39</v>
      </c>
      <c r="AR55" s="23"/>
      <c r="AS55" s="23"/>
      <c r="AT55" s="23"/>
      <c r="AU55" s="17"/>
      <c r="AV55" s="17"/>
    </row>
    <row r="56" spans="1:51">
      <c r="A56" s="127" t="s">
        <v>9</v>
      </c>
      <c r="B56" s="128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>
        <v>13990</v>
      </c>
      <c r="R56" s="2"/>
      <c r="S56" s="2"/>
      <c r="T56" s="2"/>
      <c r="U56" s="2"/>
      <c r="V56" s="2"/>
      <c r="W56" s="2"/>
      <c r="X56" s="2"/>
      <c r="Y56" s="2"/>
      <c r="Z56" s="2"/>
      <c r="AA56" s="16">
        <v>15413</v>
      </c>
      <c r="AB56" s="16"/>
      <c r="AC56" s="13"/>
      <c r="AD56" s="13"/>
      <c r="AE56" s="16">
        <v>204102.17</v>
      </c>
      <c r="AF56" s="16"/>
      <c r="AG56" s="16"/>
      <c r="AH56" s="16"/>
      <c r="AI56" s="13"/>
      <c r="AJ56" s="13"/>
      <c r="AK56" s="13"/>
      <c r="AL56" s="13"/>
      <c r="AM56" s="13"/>
      <c r="AN56" s="13"/>
      <c r="AO56" s="13"/>
      <c r="AP56" s="13"/>
      <c r="AQ56" s="23"/>
      <c r="AR56" s="23"/>
      <c r="AS56" s="23"/>
      <c r="AT56" s="23"/>
      <c r="AU56" s="17"/>
      <c r="AV56" s="17"/>
    </row>
    <row r="57" spans="1:51">
      <c r="A57" s="127" t="s">
        <v>14</v>
      </c>
      <c r="B57" s="12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16"/>
      <c r="AB57" s="16"/>
      <c r="AC57" s="13"/>
      <c r="AD57" s="13"/>
      <c r="AE57" s="16"/>
      <c r="AF57" s="16"/>
      <c r="AG57" s="16"/>
      <c r="AH57" s="16"/>
      <c r="AI57" s="13"/>
      <c r="AJ57" s="13"/>
      <c r="AK57" s="13"/>
      <c r="AL57" s="13"/>
      <c r="AM57" s="13"/>
      <c r="AN57" s="13"/>
      <c r="AO57" s="13"/>
      <c r="AP57" s="13"/>
      <c r="AQ57" s="23"/>
      <c r="AR57" s="23"/>
      <c r="AS57" s="23"/>
      <c r="AT57" s="23"/>
      <c r="AU57" s="17"/>
      <c r="AV57" s="17"/>
    </row>
    <row r="58" spans="1:51">
      <c r="A58" s="139" t="s">
        <v>2</v>
      </c>
      <c r="B58" s="140"/>
      <c r="C58" s="138">
        <v>54846675.530000001</v>
      </c>
      <c r="D58" s="138">
        <v>48940486.590000004</v>
      </c>
      <c r="E58" s="138">
        <f>SUM(E60:E64)</f>
        <v>64656891.350000001</v>
      </c>
      <c r="F58" s="138">
        <f>SUM(F60:F64)</f>
        <v>51440732.669999994</v>
      </c>
      <c r="G58" s="138">
        <f t="shared" ref="G58:AD58" si="14">SUM(G60:G64)</f>
        <v>69207433.140000001</v>
      </c>
      <c r="H58" s="138">
        <f t="shared" si="14"/>
        <v>50454846.649999999</v>
      </c>
      <c r="I58" s="138">
        <f t="shared" si="14"/>
        <v>70742852.230000004</v>
      </c>
      <c r="J58" s="138">
        <f t="shared" si="14"/>
        <v>55024116.890000001</v>
      </c>
      <c r="K58" s="138">
        <f t="shared" si="14"/>
        <v>70605066.099999994</v>
      </c>
      <c r="L58" s="138">
        <f t="shared" si="14"/>
        <v>57943952.730000004</v>
      </c>
      <c r="M58" s="138">
        <f t="shared" si="14"/>
        <v>73371785.549999997</v>
      </c>
      <c r="N58" s="138">
        <f t="shared" si="14"/>
        <v>57519633.82</v>
      </c>
      <c r="O58" s="138">
        <f t="shared" si="14"/>
        <v>69857012.25</v>
      </c>
      <c r="P58" s="138">
        <f t="shared" si="14"/>
        <v>65548817.789999999</v>
      </c>
      <c r="Q58" s="138">
        <f t="shared" si="14"/>
        <v>71509757.569999993</v>
      </c>
      <c r="R58" s="138">
        <f t="shared" si="14"/>
        <v>57862859.439999998</v>
      </c>
      <c r="S58" s="138">
        <f t="shared" si="14"/>
        <v>71486946.959999993</v>
      </c>
      <c r="T58" s="138">
        <f t="shared" si="14"/>
        <v>57789918.439999998</v>
      </c>
      <c r="U58" s="138">
        <f t="shared" si="14"/>
        <v>70592079.479999989</v>
      </c>
      <c r="V58" s="138">
        <f t="shared" si="14"/>
        <v>61579945.239999995</v>
      </c>
      <c r="W58" s="138">
        <f t="shared" si="14"/>
        <v>66866461.460000001</v>
      </c>
      <c r="X58" s="138">
        <f t="shared" si="14"/>
        <v>57735277.960000001</v>
      </c>
      <c r="Y58" s="138">
        <f t="shared" si="14"/>
        <v>103038065.23999999</v>
      </c>
      <c r="Z58" s="138">
        <f t="shared" si="14"/>
        <v>90836160.789999992</v>
      </c>
      <c r="AA58" s="145">
        <f t="shared" si="14"/>
        <v>56387437.119999997</v>
      </c>
      <c r="AB58" s="145">
        <f t="shared" si="14"/>
        <v>15533763.189999999</v>
      </c>
      <c r="AC58" s="145">
        <f t="shared" si="14"/>
        <v>119943838.53</v>
      </c>
      <c r="AD58" s="145">
        <f t="shared" si="14"/>
        <v>72448338.349999994</v>
      </c>
      <c r="AE58" s="125">
        <f t="shared" ref="AE58:AT58" si="15">AE60+AE61+AE62+AE63+AE64</f>
        <v>63217359.389999993</v>
      </c>
      <c r="AF58" s="125">
        <f t="shared" si="15"/>
        <v>27862807.449999999</v>
      </c>
      <c r="AG58" s="125">
        <f t="shared" si="15"/>
        <v>9411597.2899999991</v>
      </c>
      <c r="AH58" s="125">
        <f t="shared" si="15"/>
        <v>0</v>
      </c>
      <c r="AI58" s="125">
        <f t="shared" si="15"/>
        <v>49786014.659999996</v>
      </c>
      <c r="AJ58" s="125">
        <f t="shared" si="15"/>
        <v>26173821.319999997</v>
      </c>
      <c r="AK58" s="125">
        <f t="shared" si="15"/>
        <v>381120</v>
      </c>
      <c r="AL58" s="125">
        <f t="shared" si="15"/>
        <v>0</v>
      </c>
      <c r="AM58" s="148">
        <f t="shared" si="15"/>
        <v>39873417.130000003</v>
      </c>
      <c r="AN58" s="148">
        <f t="shared" si="15"/>
        <v>22688071.109999999</v>
      </c>
      <c r="AO58" s="148">
        <f t="shared" si="15"/>
        <v>0</v>
      </c>
      <c r="AP58" s="148">
        <f t="shared" si="15"/>
        <v>0</v>
      </c>
      <c r="AQ58" s="159">
        <f t="shared" si="15"/>
        <v>51838032.349999994</v>
      </c>
      <c r="AR58" s="159">
        <f t="shared" si="15"/>
        <v>28601031.440000001</v>
      </c>
      <c r="AS58" s="159">
        <f t="shared" si="15"/>
        <v>0</v>
      </c>
      <c r="AT58" s="159">
        <f t="shared" si="15"/>
        <v>0</v>
      </c>
      <c r="AU58" s="146">
        <f>AQ58/AM58-1</f>
        <v>0.30006495758794749</v>
      </c>
      <c r="AV58" s="146" t="e">
        <f>AS58/AO58-1</f>
        <v>#DIV/0!</v>
      </c>
    </row>
    <row r="59" spans="1:51" ht="5.4" customHeight="1">
      <c r="A59" s="141"/>
      <c r="B59" s="142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32"/>
      <c r="AB59" s="132"/>
      <c r="AC59" s="132"/>
      <c r="AD59" s="132"/>
      <c r="AE59" s="126"/>
      <c r="AF59" s="126"/>
      <c r="AG59" s="126"/>
      <c r="AH59" s="126"/>
      <c r="AI59" s="126"/>
      <c r="AJ59" s="126"/>
      <c r="AK59" s="126"/>
      <c r="AL59" s="126"/>
      <c r="AM59" s="149"/>
      <c r="AN59" s="149"/>
      <c r="AO59" s="149"/>
      <c r="AP59" s="149"/>
      <c r="AQ59" s="160"/>
      <c r="AR59" s="160"/>
      <c r="AS59" s="160"/>
      <c r="AT59" s="160"/>
      <c r="AU59" s="147"/>
      <c r="AV59" s="147"/>
    </row>
    <row r="60" spans="1:51" ht="42.6" customHeight="1">
      <c r="A60" s="127" t="s">
        <v>10</v>
      </c>
      <c r="B60" s="128"/>
      <c r="C60" s="2"/>
      <c r="D60" s="2"/>
      <c r="E60" s="2">
        <v>10110055.9</v>
      </c>
      <c r="F60" s="2">
        <f>51442088.62-49312861.59</f>
        <v>2129227.0299999937</v>
      </c>
      <c r="G60" s="2">
        <v>10146692.35</v>
      </c>
      <c r="H60" s="2">
        <v>2129227.0299999998</v>
      </c>
      <c r="I60" s="2">
        <v>14616479.76</v>
      </c>
      <c r="J60" s="2">
        <v>2129227.0299999998</v>
      </c>
      <c r="K60" s="2">
        <v>7843217.96</v>
      </c>
      <c r="L60" s="2">
        <v>2129227.0299999998</v>
      </c>
      <c r="M60" s="2">
        <v>7533070</v>
      </c>
      <c r="N60" s="2">
        <v>2129227.0299999998</v>
      </c>
      <c r="O60" s="2">
        <v>6652443.1100000003</v>
      </c>
      <c r="P60" s="2">
        <v>2344248.65</v>
      </c>
      <c r="Q60" s="2">
        <f>8677372.77+42645.25</f>
        <v>8720018.0199999996</v>
      </c>
      <c r="R60" s="2">
        <f>2344248.65</f>
        <v>2344248.65</v>
      </c>
      <c r="S60" s="2">
        <f>69747.65+9218096.72</f>
        <v>9287844.370000001</v>
      </c>
      <c r="T60" s="2">
        <v>2271307.65</v>
      </c>
      <c r="U60" s="2">
        <f>94170.06+10964271.83</f>
        <v>11058441.890000001</v>
      </c>
      <c r="V60" s="2">
        <f>2046307.65</f>
        <v>2046307.65</v>
      </c>
      <c r="W60" s="2">
        <f>11194823.81+98358.34</f>
        <v>11293182.15</v>
      </c>
      <c r="X60" s="2">
        <f>2161998.65</f>
        <v>2161998.65</v>
      </c>
      <c r="Y60" s="2">
        <v>13594212.15</v>
      </c>
      <c r="Z60" s="2">
        <v>4751435.4800000004</v>
      </c>
      <c r="AA60" s="16">
        <f>77325.12+12375433.35</f>
        <v>12452758.469999999</v>
      </c>
      <c r="AB60" s="16">
        <v>1634678.03</v>
      </c>
      <c r="AC60" s="16">
        <f>263374.33+25371454.14</f>
        <v>25634828.469999999</v>
      </c>
      <c r="AD60" s="16">
        <v>7111498.0199999996</v>
      </c>
      <c r="AE60" s="16">
        <f>58898.5+5757823.28+84105.04+8232493.31</f>
        <v>14133320.129999999</v>
      </c>
      <c r="AF60" s="16">
        <f>58898.5+84105.04</f>
        <v>143003.53999999998</v>
      </c>
      <c r="AG60" s="16">
        <v>1077110.1399999999</v>
      </c>
      <c r="AH60" s="16"/>
      <c r="AI60" s="16">
        <f>6666650.33+5624949.78</f>
        <v>12291600.109999999</v>
      </c>
      <c r="AJ60" s="16">
        <f>35741.07+67278.18</f>
        <v>103019.25</v>
      </c>
      <c r="AK60" s="16"/>
      <c r="AL60" s="16"/>
      <c r="AM60" s="41">
        <f>37948.57+4413208.13+100915.2+4535014.6</f>
        <v>9087086.5</v>
      </c>
      <c r="AN60" s="41">
        <f>37948.57+100915.2</f>
        <v>138863.76999999999</v>
      </c>
      <c r="AO60" s="41"/>
      <c r="AP60" s="41"/>
      <c r="AQ60" s="55">
        <f>128654.96+4479839.28+278827.38+5488404.68</f>
        <v>10375726.300000001</v>
      </c>
      <c r="AR60" s="55">
        <f>128654.96+278827.38</f>
        <v>407482.34</v>
      </c>
      <c r="AS60" s="55"/>
      <c r="AT60" s="55"/>
      <c r="AU60" s="56"/>
      <c r="AV60" s="56"/>
      <c r="AY60" s="29"/>
    </row>
    <row r="61" spans="1:51">
      <c r="A61" s="127" t="s">
        <v>7</v>
      </c>
      <c r="B61" s="128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16">
        <f>774524.11+20097533.72</f>
        <v>20872057.829999998</v>
      </c>
      <c r="AB61" s="16"/>
      <c r="AC61" s="16">
        <f>815882.11+24539657.77</f>
        <v>25355539.879999999</v>
      </c>
      <c r="AD61" s="16"/>
      <c r="AE61" s="16">
        <f>6636427.13+2761581.99+10175763.76+5190667.21</f>
        <v>24764440.090000004</v>
      </c>
      <c r="AF61" s="16">
        <f>6636427.13+10175763.76</f>
        <v>16812190.890000001</v>
      </c>
      <c r="AG61" s="16"/>
      <c r="AH61" s="16"/>
      <c r="AI61" s="16">
        <f>7952572.92+13599050.19</f>
        <v>21551623.109999999</v>
      </c>
      <c r="AJ61" s="16">
        <f>6844713.26+9282998.62</f>
        <v>16127711.879999999</v>
      </c>
      <c r="AK61" s="16"/>
      <c r="AL61" s="16"/>
      <c r="AM61" s="41">
        <f>5886637.22+1343938.79+9504699.42+3891041.08</f>
        <v>20626316.509999998</v>
      </c>
      <c r="AN61" s="41">
        <f>5886637.22+9504699.42</f>
        <v>15391336.640000001</v>
      </c>
      <c r="AO61" s="41"/>
      <c r="AP61" s="41"/>
      <c r="AQ61" s="55">
        <f>5411955.19+2799074.79+9781290.79+5527947.06</f>
        <v>23520267.829999998</v>
      </c>
      <c r="AR61" s="55">
        <f>5411955.19+9781290.79</f>
        <v>15193245.98</v>
      </c>
      <c r="AS61" s="55"/>
      <c r="AT61" s="55"/>
      <c r="AU61" s="56"/>
      <c r="AV61" s="56"/>
    </row>
    <row r="62" spans="1:51" ht="31.8" customHeight="1">
      <c r="A62" s="127" t="s">
        <v>8</v>
      </c>
      <c r="B62" s="128"/>
      <c r="C62" s="2"/>
      <c r="D62" s="2"/>
      <c r="E62" s="2">
        <v>4317281.3899999997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>
        <v>3356790.95</v>
      </c>
      <c r="Z62" s="2"/>
      <c r="AA62" s="16">
        <f>511757.59+6814505.62</f>
        <v>7326263.21</v>
      </c>
      <c r="AB62" s="16"/>
      <c r="AC62" s="16">
        <f>484038.54+11956133.92</f>
        <v>12440172.459999999</v>
      </c>
      <c r="AD62" s="16">
        <v>10626588</v>
      </c>
      <c r="AE62" s="16">
        <f>4846101.83+2549979.72+3834472.6+2522828.53</f>
        <v>13753382.68</v>
      </c>
      <c r="AF62" s="16">
        <f>4846101.83+3834472.6</f>
        <v>8680574.4299999997</v>
      </c>
      <c r="AG62" s="16"/>
      <c r="AH62" s="16"/>
      <c r="AI62" s="16">
        <f>7445909.28+7217099.4</f>
        <v>14663008.68</v>
      </c>
      <c r="AJ62" s="16">
        <f>4719696.68+4376171.99</f>
        <v>9095868.6699999999</v>
      </c>
      <c r="AK62" s="16"/>
      <c r="AL62" s="16"/>
      <c r="AM62" s="41">
        <f>3432978.14+381958.57+3074157.21+2597939.85</f>
        <v>9487033.7699999996</v>
      </c>
      <c r="AN62" s="41">
        <f>3432978.14+3074157.21</f>
        <v>6507135.3499999996</v>
      </c>
      <c r="AO62" s="41"/>
      <c r="AP62" s="41"/>
      <c r="AQ62" s="55">
        <f>4428177.4+1700888.41+8031909.1+3240846.69</f>
        <v>17401821.600000001</v>
      </c>
      <c r="AR62" s="55">
        <f>4428177.4+8031909.1</f>
        <v>12460086.5</v>
      </c>
      <c r="AS62" s="55"/>
      <c r="AT62" s="55"/>
      <c r="AU62" s="56"/>
      <c r="AV62" s="56"/>
    </row>
    <row r="63" spans="1:51">
      <c r="A63" s="127" t="s">
        <v>9</v>
      </c>
      <c r="B63" s="128"/>
      <c r="C63" s="2"/>
      <c r="D63" s="2"/>
      <c r="E63" s="2">
        <v>50229554.060000002</v>
      </c>
      <c r="F63" s="2">
        <v>49311505.640000001</v>
      </c>
      <c r="G63" s="2">
        <f>54914409.14+4146331.65</f>
        <v>59060740.789999999</v>
      </c>
      <c r="H63" s="2">
        <f>4092516+44233103.62</f>
        <v>48325619.619999997</v>
      </c>
      <c r="I63" s="2">
        <f>4125519+52000853.47</f>
        <v>56126372.469999999</v>
      </c>
      <c r="J63" s="2">
        <f>4092516+48802373.86</f>
        <v>52894889.859999999</v>
      </c>
      <c r="K63" s="2">
        <f>4106722+58655126.14</f>
        <v>62761848.140000001</v>
      </c>
      <c r="L63" s="2">
        <f>4092516+51722209.7</f>
        <v>55814725.700000003</v>
      </c>
      <c r="M63" s="2">
        <f>3726327.65+62112387.9</f>
        <v>65838715.549999997</v>
      </c>
      <c r="N63" s="2">
        <f>51679075.14+3711331.65</f>
        <v>55390406.789999999</v>
      </c>
      <c r="O63" s="2">
        <f>3292052+59912517.14</f>
        <v>63204569.140000001</v>
      </c>
      <c r="P63" s="2">
        <f>3292052+59912517.14</f>
        <v>63204569.140000001</v>
      </c>
      <c r="Q63" s="2">
        <f>59493077.9+3296661.65</f>
        <v>62789739.549999997</v>
      </c>
      <c r="R63" s="2">
        <f>3296661.65+52221949.14</f>
        <v>55518610.789999999</v>
      </c>
      <c r="S63" s="2">
        <f>58887656.94+3311445.65</f>
        <v>62199102.589999996</v>
      </c>
      <c r="T63" s="2">
        <f>3296661.65+52221949.14</f>
        <v>55518610.789999999</v>
      </c>
      <c r="U63" s="2">
        <f>56222191.94+3311445.65</f>
        <v>59533637.589999996</v>
      </c>
      <c r="V63" s="2">
        <f>3311445.65+56222191.94</f>
        <v>59533637.589999996</v>
      </c>
      <c r="W63" s="2">
        <f>1281078.35+54292200.96</f>
        <v>55573279.310000002</v>
      </c>
      <c r="X63" s="2">
        <f>54292200.96+1281078.35</f>
        <v>55573279.310000002</v>
      </c>
      <c r="Y63" s="2">
        <v>55305512.479999997</v>
      </c>
      <c r="Z63" s="2">
        <v>55305512.479999997</v>
      </c>
      <c r="AA63" s="16">
        <v>12430432.640000001</v>
      </c>
      <c r="AB63" s="16">
        <v>12430432.640000001</v>
      </c>
      <c r="AC63" s="16">
        <v>19001954.52</v>
      </c>
      <c r="AD63" s="16">
        <v>19001954.52</v>
      </c>
      <c r="AE63" s="16">
        <f>2101880.84+3050643.64</f>
        <v>5152524.4800000004</v>
      </c>
      <c r="AF63" s="16"/>
      <c r="AG63" s="16">
        <f>2101856.09+3050642.64</f>
        <v>5152498.7300000004</v>
      </c>
      <c r="AH63" s="16"/>
      <c r="AI63" s="16">
        <f>197520+183600</f>
        <v>381120</v>
      </c>
      <c r="AJ63" s="16"/>
      <c r="AK63" s="16">
        <f>197520+183600</f>
        <v>381120</v>
      </c>
      <c r="AL63" s="16"/>
      <c r="AM63" s="41">
        <v>22245</v>
      </c>
      <c r="AN63" s="41"/>
      <c r="AO63" s="41"/>
      <c r="AP63" s="41"/>
      <c r="AQ63" s="55"/>
      <c r="AR63" s="55"/>
      <c r="AS63" s="55"/>
      <c r="AT63" s="55"/>
      <c r="AU63" s="56" t="s">
        <v>39</v>
      </c>
      <c r="AV63" s="56"/>
    </row>
    <row r="64" spans="1:51">
      <c r="A64" s="127" t="s">
        <v>14</v>
      </c>
      <c r="B64" s="128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>
        <v>30781549.66</v>
      </c>
      <c r="Z64" s="2">
        <v>30779212.829999998</v>
      </c>
      <c r="AA64" s="16">
        <f>3305399.51+525.46</f>
        <v>3305924.9699999997</v>
      </c>
      <c r="AB64" s="16">
        <v>1468652.52</v>
      </c>
      <c r="AC64" s="16">
        <f>37418429.35+92913.85</f>
        <v>37511343.200000003</v>
      </c>
      <c r="AD64" s="16">
        <v>35708297.810000002</v>
      </c>
      <c r="AE64" s="16">
        <f>5363159.41+45867.6+4665</f>
        <v>5413692.0099999998</v>
      </c>
      <c r="AF64" s="16">
        <f>45867.6+2181170.99</f>
        <v>2227038.5900000003</v>
      </c>
      <c r="AG64" s="16">
        <v>3181988.42</v>
      </c>
      <c r="AH64" s="16"/>
      <c r="AI64" s="16">
        <v>898662.76</v>
      </c>
      <c r="AJ64" s="16">
        <v>847221.52</v>
      </c>
      <c r="AK64" s="16"/>
      <c r="AL64" s="16"/>
      <c r="AM64" s="41">
        <v>650735.35</v>
      </c>
      <c r="AN64" s="41">
        <v>650735.35</v>
      </c>
      <c r="AO64" s="41"/>
      <c r="AP64" s="41"/>
      <c r="AQ64" s="55">
        <v>540216.62</v>
      </c>
      <c r="AR64" s="55">
        <v>540216.62</v>
      </c>
      <c r="AS64" s="55"/>
      <c r="AT64" s="55"/>
      <c r="AU64" s="56"/>
      <c r="AV64" s="56"/>
    </row>
    <row r="65" spans="1:48">
      <c r="A65" s="139" t="s">
        <v>3</v>
      </c>
      <c r="B65" s="140"/>
      <c r="C65" s="138">
        <v>-7680.14</v>
      </c>
      <c r="D65" s="138">
        <f>SUM(D67:D71)</f>
        <v>0</v>
      </c>
      <c r="E65" s="138">
        <f t="shared" ref="E65:AD65" si="16">SUM(E67:E71)</f>
        <v>0</v>
      </c>
      <c r="F65" s="138">
        <f t="shared" si="16"/>
        <v>0</v>
      </c>
      <c r="G65" s="138">
        <f t="shared" si="16"/>
        <v>114426.95</v>
      </c>
      <c r="H65" s="138">
        <f t="shared" si="16"/>
        <v>0</v>
      </c>
      <c r="I65" s="138">
        <f t="shared" si="16"/>
        <v>88290.77</v>
      </c>
      <c r="J65" s="138">
        <f t="shared" si="16"/>
        <v>0</v>
      </c>
      <c r="K65" s="138">
        <f t="shared" si="16"/>
        <v>51440.42</v>
      </c>
      <c r="L65" s="138">
        <f t="shared" si="16"/>
        <v>0</v>
      </c>
      <c r="M65" s="138">
        <f t="shared" si="16"/>
        <v>169857.58</v>
      </c>
      <c r="N65" s="138">
        <f t="shared" si="16"/>
        <v>0</v>
      </c>
      <c r="O65" s="138">
        <f t="shared" si="16"/>
        <v>77731.77</v>
      </c>
      <c r="P65" s="138">
        <f t="shared" si="16"/>
        <v>0</v>
      </c>
      <c r="Q65" s="138">
        <f t="shared" si="16"/>
        <v>55035.07</v>
      </c>
      <c r="R65" s="138">
        <f t="shared" si="16"/>
        <v>0</v>
      </c>
      <c r="S65" s="138">
        <f t="shared" si="16"/>
        <v>80513.679999999993</v>
      </c>
      <c r="T65" s="138">
        <f t="shared" si="16"/>
        <v>0</v>
      </c>
      <c r="U65" s="138">
        <f t="shared" si="16"/>
        <v>77945.259999999995</v>
      </c>
      <c r="V65" s="138">
        <f t="shared" si="16"/>
        <v>0</v>
      </c>
      <c r="W65" s="138">
        <f t="shared" si="16"/>
        <v>84064.9</v>
      </c>
      <c r="X65" s="138">
        <f t="shared" si="16"/>
        <v>0</v>
      </c>
      <c r="Y65" s="138">
        <f t="shared" si="16"/>
        <v>0</v>
      </c>
      <c r="Z65" s="138">
        <f t="shared" si="16"/>
        <v>0</v>
      </c>
      <c r="AA65" s="145">
        <f t="shared" si="16"/>
        <v>663721.94999999995</v>
      </c>
      <c r="AB65" s="145">
        <f t="shared" si="16"/>
        <v>0</v>
      </c>
      <c r="AC65" s="145">
        <f t="shared" si="16"/>
        <v>856387.40999999992</v>
      </c>
      <c r="AD65" s="145">
        <f t="shared" si="16"/>
        <v>0</v>
      </c>
      <c r="AE65" s="125">
        <f t="shared" ref="AE65:AT65" si="17">AE67+AE68+AE69+AE70+AE71</f>
        <v>1745805.9500000002</v>
      </c>
      <c r="AF65" s="125">
        <f t="shared" si="17"/>
        <v>0</v>
      </c>
      <c r="AG65" s="125">
        <v>0</v>
      </c>
      <c r="AH65" s="125">
        <f t="shared" si="17"/>
        <v>0</v>
      </c>
      <c r="AI65" s="125">
        <f t="shared" si="17"/>
        <v>732891.89999999991</v>
      </c>
      <c r="AJ65" s="125">
        <f t="shared" si="17"/>
        <v>0</v>
      </c>
      <c r="AK65" s="125">
        <f t="shared" si="17"/>
        <v>0</v>
      </c>
      <c r="AL65" s="125">
        <f t="shared" si="17"/>
        <v>0</v>
      </c>
      <c r="AM65" s="125">
        <f t="shared" si="17"/>
        <v>20734.93</v>
      </c>
      <c r="AN65" s="125">
        <f t="shared" si="17"/>
        <v>0</v>
      </c>
      <c r="AO65" s="125">
        <f t="shared" si="17"/>
        <v>0</v>
      </c>
      <c r="AP65" s="125">
        <f t="shared" si="17"/>
        <v>0</v>
      </c>
      <c r="AQ65" s="150">
        <f t="shared" si="17"/>
        <v>1562234.7</v>
      </c>
      <c r="AR65" s="150">
        <f t="shared" si="17"/>
        <v>0</v>
      </c>
      <c r="AS65" s="150">
        <f t="shared" si="17"/>
        <v>0</v>
      </c>
      <c r="AT65" s="150">
        <f t="shared" si="17"/>
        <v>0</v>
      </c>
      <c r="AU65" s="143">
        <f>AQ65/AM65-1</f>
        <v>74.343138366032576</v>
      </c>
      <c r="AV65" s="143" t="e">
        <f>AS65/AO65-1</f>
        <v>#DIV/0!</v>
      </c>
    </row>
    <row r="66" spans="1:48" ht="7.2" customHeight="1">
      <c r="A66" s="141"/>
      <c r="B66" s="142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32"/>
      <c r="AB66" s="132"/>
      <c r="AC66" s="132"/>
      <c r="AD66" s="132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51"/>
      <c r="AR66" s="151"/>
      <c r="AS66" s="151"/>
      <c r="AT66" s="151"/>
      <c r="AU66" s="144"/>
      <c r="AV66" s="144"/>
    </row>
    <row r="67" spans="1:48" ht="40.799999999999997" customHeight="1">
      <c r="A67" s="127" t="s">
        <v>10</v>
      </c>
      <c r="B67" s="128"/>
      <c r="C67" s="2">
        <v>0</v>
      </c>
      <c r="D67" s="2"/>
      <c r="E67" s="2">
        <v>0</v>
      </c>
      <c r="F67" s="2"/>
      <c r="G67" s="2">
        <v>114426.95</v>
      </c>
      <c r="H67" s="2"/>
      <c r="I67" s="2">
        <v>88290.77</v>
      </c>
      <c r="J67" s="2"/>
      <c r="K67" s="2">
        <v>51440.42</v>
      </c>
      <c r="L67" s="2"/>
      <c r="M67" s="2">
        <v>169857.58</v>
      </c>
      <c r="N67" s="2"/>
      <c r="O67" s="2">
        <v>77731.77</v>
      </c>
      <c r="P67" s="2"/>
      <c r="Q67" s="2">
        <v>55035.07</v>
      </c>
      <c r="R67" s="2"/>
      <c r="S67" s="2">
        <v>80513.679999999993</v>
      </c>
      <c r="T67" s="2"/>
      <c r="U67" s="2">
        <v>77945.259999999995</v>
      </c>
      <c r="V67" s="2"/>
      <c r="W67" s="2">
        <v>84064.9</v>
      </c>
      <c r="X67" s="2"/>
      <c r="Y67" s="2"/>
      <c r="Z67" s="2"/>
      <c r="AA67" s="16">
        <v>4839.6099999999997</v>
      </c>
      <c r="AB67" s="16"/>
      <c r="AC67" s="16">
        <v>85242.16</v>
      </c>
      <c r="AD67" s="13"/>
      <c r="AE67" s="16">
        <f>72200.43+5275.44</f>
        <v>77475.87</v>
      </c>
      <c r="AF67" s="16"/>
      <c r="AG67" s="16"/>
      <c r="AH67" s="16"/>
      <c r="AI67" s="16">
        <f>8639.4+10796.51</f>
        <v>19435.91</v>
      </c>
      <c r="AJ67" s="16"/>
      <c r="AK67" s="16"/>
      <c r="AL67" s="16"/>
      <c r="AM67" s="16">
        <f>13609.88+7125.05</f>
        <v>20734.93</v>
      </c>
      <c r="AN67" s="16"/>
      <c r="AO67" s="16"/>
      <c r="AP67" s="16"/>
      <c r="AQ67" s="23">
        <f>192441.18+13294.51</f>
        <v>205735.69</v>
      </c>
      <c r="AR67" s="23"/>
      <c r="AS67" s="23"/>
      <c r="AT67" s="23"/>
      <c r="AU67" s="17"/>
      <c r="AV67" s="17"/>
    </row>
    <row r="68" spans="1:48">
      <c r="A68" s="127" t="s">
        <v>7</v>
      </c>
      <c r="B68" s="128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16">
        <v>446550.73</v>
      </c>
      <c r="AB68" s="16"/>
      <c r="AC68" s="16">
        <v>451706.16</v>
      </c>
      <c r="AD68" s="13"/>
      <c r="AE68" s="16">
        <f>696234.36+399212.22</f>
        <v>1095446.58</v>
      </c>
      <c r="AF68" s="16"/>
      <c r="AG68" s="16"/>
      <c r="AH68" s="16"/>
      <c r="AI68" s="16">
        <v>484362.5</v>
      </c>
      <c r="AJ68" s="16"/>
      <c r="AK68" s="16"/>
      <c r="AL68" s="16"/>
      <c r="AM68" s="16"/>
      <c r="AN68" s="16"/>
      <c r="AO68" s="16"/>
      <c r="AP68" s="16"/>
      <c r="AQ68" s="23">
        <f>490421.8+304724.69</f>
        <v>795146.49</v>
      </c>
      <c r="AR68" s="23"/>
      <c r="AS68" s="23"/>
      <c r="AT68" s="23"/>
      <c r="AU68" s="17"/>
      <c r="AV68" s="17"/>
    </row>
    <row r="69" spans="1:48" ht="33" customHeight="1">
      <c r="A69" s="127" t="s">
        <v>8</v>
      </c>
      <c r="B69" s="128"/>
      <c r="C69" s="2">
        <v>0</v>
      </c>
      <c r="D69" s="2"/>
      <c r="E69" s="2">
        <v>0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16"/>
      <c r="AB69" s="23"/>
      <c r="AC69" s="16">
        <v>319439.09000000003</v>
      </c>
      <c r="AD69" s="13"/>
      <c r="AE69" s="16">
        <f>340695.57+232187.93</f>
        <v>572883.5</v>
      </c>
      <c r="AF69" s="16"/>
      <c r="AG69" s="16"/>
      <c r="AH69" s="16"/>
      <c r="AI69" s="16">
        <v>229093.49</v>
      </c>
      <c r="AJ69" s="16"/>
      <c r="AK69" s="16"/>
      <c r="AL69" s="16"/>
      <c r="AM69" s="16"/>
      <c r="AN69" s="16"/>
      <c r="AO69" s="16"/>
      <c r="AP69" s="16"/>
      <c r="AQ69" s="23">
        <f>331787.57+171228.95</f>
        <v>503016.52</v>
      </c>
      <c r="AR69" s="23"/>
      <c r="AS69" s="23"/>
      <c r="AT69" s="23"/>
      <c r="AU69" s="17"/>
      <c r="AV69" s="17"/>
    </row>
    <row r="70" spans="1:48">
      <c r="A70" s="127" t="s">
        <v>9</v>
      </c>
      <c r="B70" s="128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16">
        <v>212331.61</v>
      </c>
      <c r="AB70" s="16"/>
      <c r="AC70" s="16"/>
      <c r="AD70" s="13"/>
      <c r="AE70" s="16"/>
      <c r="AF70" s="16"/>
      <c r="AG70" s="16"/>
      <c r="AH70" s="16"/>
      <c r="AI70" s="16"/>
      <c r="AJ70" s="16"/>
      <c r="AK70" s="16"/>
      <c r="AL70" s="16"/>
      <c r="AM70" s="13"/>
      <c r="AN70" s="13"/>
      <c r="AO70" s="13"/>
      <c r="AP70" s="13"/>
      <c r="AQ70" s="23"/>
      <c r="AR70" s="23"/>
      <c r="AS70" s="23"/>
      <c r="AT70" s="23"/>
      <c r="AU70" s="17"/>
      <c r="AV70" s="17"/>
    </row>
    <row r="71" spans="1:48">
      <c r="A71" s="127" t="s">
        <v>14</v>
      </c>
      <c r="B71" s="128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13"/>
      <c r="AB71" s="13"/>
      <c r="AC71" s="13"/>
      <c r="AD71" s="13"/>
      <c r="AE71" s="16"/>
      <c r="AF71" s="16"/>
      <c r="AG71" s="16"/>
      <c r="AH71" s="16"/>
      <c r="AI71" s="13"/>
      <c r="AJ71" s="13"/>
      <c r="AK71" s="13"/>
      <c r="AL71" s="13"/>
      <c r="AM71" s="13"/>
      <c r="AN71" s="13"/>
      <c r="AO71" s="13"/>
      <c r="AP71" s="13"/>
      <c r="AQ71" s="23">
        <v>58336</v>
      </c>
      <c r="AR71" s="23"/>
      <c r="AS71" s="23"/>
      <c r="AT71" s="23"/>
      <c r="AU71" s="17"/>
      <c r="AV71" s="17"/>
    </row>
    <row r="72" spans="1:48">
      <c r="A72" s="139" t="s">
        <v>16</v>
      </c>
      <c r="B72" s="140"/>
      <c r="C72" s="138">
        <v>24738.76</v>
      </c>
      <c r="D72" s="138">
        <f t="shared" ref="D72:Z72" si="18">SUM(D74:D78)</f>
        <v>0</v>
      </c>
      <c r="E72" s="138">
        <f t="shared" si="18"/>
        <v>162585.41</v>
      </c>
      <c r="F72" s="138">
        <f t="shared" si="18"/>
        <v>0</v>
      </c>
      <c r="G72" s="138">
        <f t="shared" si="18"/>
        <v>2836261.8599999994</v>
      </c>
      <c r="H72" s="138">
        <f t="shared" si="18"/>
        <v>179639.45</v>
      </c>
      <c r="I72" s="138">
        <f t="shared" si="18"/>
        <v>2968161.5</v>
      </c>
      <c r="J72" s="138">
        <f t="shared" si="18"/>
        <v>179639.45</v>
      </c>
      <c r="K72" s="138">
        <f t="shared" si="18"/>
        <v>3579888.6599999997</v>
      </c>
      <c r="L72" s="138">
        <f t="shared" si="18"/>
        <v>179639.45</v>
      </c>
      <c r="M72" s="138">
        <f t="shared" si="18"/>
        <v>2288254.44</v>
      </c>
      <c r="N72" s="138">
        <f t="shared" si="18"/>
        <v>179639.45</v>
      </c>
      <c r="O72" s="138">
        <f t="shared" si="18"/>
        <v>2699902.61</v>
      </c>
      <c r="P72" s="138">
        <f t="shared" si="18"/>
        <v>179639.45</v>
      </c>
      <c r="Q72" s="138">
        <f t="shared" si="18"/>
        <v>2782603.59</v>
      </c>
      <c r="R72" s="138">
        <f t="shared" si="18"/>
        <v>179639.45</v>
      </c>
      <c r="S72" s="138">
        <f t="shared" si="18"/>
        <v>2615855.7999999998</v>
      </c>
      <c r="T72" s="138">
        <f t="shared" si="18"/>
        <v>179639.45</v>
      </c>
      <c r="U72" s="138">
        <f t="shared" si="18"/>
        <v>2483055.5499999998</v>
      </c>
      <c r="V72" s="138">
        <f t="shared" si="18"/>
        <v>142806.04</v>
      </c>
      <c r="W72" s="138">
        <f t="shared" si="18"/>
        <v>2680559.16</v>
      </c>
      <c r="X72" s="138">
        <f t="shared" si="18"/>
        <v>142806.04</v>
      </c>
      <c r="Y72" s="138">
        <f t="shared" si="18"/>
        <v>79878.12999999999</v>
      </c>
      <c r="Z72" s="138">
        <f t="shared" si="18"/>
        <v>0</v>
      </c>
      <c r="AA72" s="145">
        <f>SUM(AA74:AA78)</f>
        <v>2592606.9299999997</v>
      </c>
      <c r="AB72" s="145">
        <f>SUM(AB74:AB78)</f>
        <v>0</v>
      </c>
      <c r="AC72" s="145">
        <f>SUM(AC74:AC78)</f>
        <v>4410926.9800000004</v>
      </c>
      <c r="AD72" s="145">
        <f>SUM(AD74:AD78)</f>
        <v>1508980.59</v>
      </c>
      <c r="AE72" s="125">
        <f t="shared" ref="AE72:AF72" si="19">AE74+AE75+AE76+AE77+AE78</f>
        <v>4401686.4800000004</v>
      </c>
      <c r="AF72" s="125">
        <f t="shared" si="19"/>
        <v>4300435.1999999993</v>
      </c>
      <c r="AG72" s="125">
        <v>0</v>
      </c>
      <c r="AH72" s="125">
        <v>0</v>
      </c>
      <c r="AI72" s="125">
        <f t="shared" ref="AI72:AT72" si="20">AI74+AI75+AI76+AI77+AI78</f>
        <v>5541568.0600000005</v>
      </c>
      <c r="AJ72" s="125">
        <f t="shared" si="20"/>
        <v>0</v>
      </c>
      <c r="AK72" s="125">
        <f>AK74+AK75+AK76+AK77+AK78</f>
        <v>0</v>
      </c>
      <c r="AL72" s="125">
        <f t="shared" si="20"/>
        <v>0</v>
      </c>
      <c r="AM72" s="150">
        <f t="shared" si="20"/>
        <v>4905226.87</v>
      </c>
      <c r="AN72" s="150">
        <f t="shared" si="20"/>
        <v>4859923.91</v>
      </c>
      <c r="AO72" s="150">
        <f t="shared" si="20"/>
        <v>0</v>
      </c>
      <c r="AP72" s="150">
        <f t="shared" si="20"/>
        <v>0</v>
      </c>
      <c r="AQ72" s="150">
        <f t="shared" si="20"/>
        <v>5139800.9700000007</v>
      </c>
      <c r="AR72" s="150">
        <f t="shared" si="20"/>
        <v>5065045.9400000004</v>
      </c>
      <c r="AS72" s="150">
        <f t="shared" si="20"/>
        <v>0</v>
      </c>
      <c r="AT72" s="150">
        <f t="shared" si="20"/>
        <v>0</v>
      </c>
      <c r="AU72" s="143">
        <f>AQ72/AM72-1</f>
        <v>4.7821253984120071E-2</v>
      </c>
      <c r="AV72" s="143" t="e">
        <f>AS72/AO72-1</f>
        <v>#DIV/0!</v>
      </c>
    </row>
    <row r="73" spans="1:48">
      <c r="A73" s="141"/>
      <c r="B73" s="142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32"/>
      <c r="AB73" s="132"/>
      <c r="AC73" s="132"/>
      <c r="AD73" s="132"/>
      <c r="AE73" s="126"/>
      <c r="AF73" s="126"/>
      <c r="AG73" s="126"/>
      <c r="AH73" s="126"/>
      <c r="AI73" s="126"/>
      <c r="AJ73" s="126"/>
      <c r="AK73" s="126"/>
      <c r="AL73" s="126"/>
      <c r="AM73" s="151"/>
      <c r="AN73" s="151"/>
      <c r="AO73" s="151"/>
      <c r="AP73" s="151"/>
      <c r="AQ73" s="151"/>
      <c r="AR73" s="151"/>
      <c r="AS73" s="151"/>
      <c r="AT73" s="151"/>
      <c r="AU73" s="144"/>
      <c r="AV73" s="144"/>
    </row>
    <row r="74" spans="1:48" ht="42.6" customHeight="1">
      <c r="A74" s="127" t="s">
        <v>10</v>
      </c>
      <c r="B74" s="128"/>
      <c r="C74" s="2"/>
      <c r="D74" s="2"/>
      <c r="E74" s="2">
        <v>162585.41</v>
      </c>
      <c r="F74" s="2"/>
      <c r="G74" s="2">
        <f>410855.69+138863.03</f>
        <v>549718.72</v>
      </c>
      <c r="H74" s="2">
        <v>179639.45</v>
      </c>
      <c r="I74" s="2">
        <f>349786.74+482870.23</f>
        <v>832656.97</v>
      </c>
      <c r="J74" s="2">
        <v>179639.45</v>
      </c>
      <c r="K74" s="2">
        <f>325550.4+256894.84</f>
        <v>582445.24</v>
      </c>
      <c r="L74" s="2">
        <v>179639.45</v>
      </c>
      <c r="M74" s="2">
        <f>32098.35+367708.31</f>
        <v>399806.66</v>
      </c>
      <c r="N74" s="2">
        <v>179639.45</v>
      </c>
      <c r="O74" s="2">
        <f>19053.66+339996.73</f>
        <v>359050.38999999996</v>
      </c>
      <c r="P74" s="2">
        <v>179639.45</v>
      </c>
      <c r="Q74" s="2">
        <f>214101.64+184501.39</f>
        <v>398603.03</v>
      </c>
      <c r="R74" s="2">
        <v>179639.45</v>
      </c>
      <c r="S74" s="2">
        <f>293392.92+82646.26</f>
        <v>376039.18</v>
      </c>
      <c r="T74" s="2">
        <v>179639.45</v>
      </c>
      <c r="U74" s="2">
        <f>18347.3+293392.92</f>
        <v>311740.21999999997</v>
      </c>
      <c r="V74" s="2">
        <f>142806.04</f>
        <v>142806.04</v>
      </c>
      <c r="W74" s="2">
        <f>175124.05+248350.04</f>
        <v>423474.08999999997</v>
      </c>
      <c r="X74" s="2">
        <v>142806.04</v>
      </c>
      <c r="Y74" s="2">
        <v>99147.76</v>
      </c>
      <c r="Z74" s="2"/>
      <c r="AA74" s="16">
        <f>23731.53+27555.65</f>
        <v>51287.18</v>
      </c>
      <c r="AB74" s="16"/>
      <c r="AC74" s="16">
        <f>36698.81+43106.43</f>
        <v>79805.239999999991</v>
      </c>
      <c r="AD74" s="16"/>
      <c r="AE74" s="16">
        <f>54159.74+22819.27+80774.94</f>
        <v>157753.95000000001</v>
      </c>
      <c r="AF74" s="28">
        <f>54159.74+22819.27</f>
        <v>76979.009999999995</v>
      </c>
      <c r="AG74" s="16"/>
      <c r="AH74" s="16"/>
      <c r="AI74" s="16">
        <f>43925.96+153933.91+15985</f>
        <v>213844.87</v>
      </c>
      <c r="AJ74" s="16"/>
      <c r="AK74" s="16"/>
      <c r="AL74" s="16"/>
      <c r="AM74" s="23">
        <f>68648.13+19758.87+16981.5</f>
        <v>105388.5</v>
      </c>
      <c r="AN74" s="23">
        <f>68648.13+19758.87</f>
        <v>88407</v>
      </c>
      <c r="AO74" s="23">
        <v>0</v>
      </c>
      <c r="AP74" s="23"/>
      <c r="AQ74" s="23">
        <f>16674.47+17837.74+208399.84+16625.61</f>
        <v>259537.65999999997</v>
      </c>
      <c r="AR74" s="23">
        <f>16674.47+208399.84</f>
        <v>225074.31</v>
      </c>
      <c r="AS74" s="23"/>
      <c r="AT74" s="23"/>
      <c r="AU74" s="17"/>
      <c r="AV74" s="17"/>
    </row>
    <row r="75" spans="1:48">
      <c r="A75" s="127" t="s">
        <v>7</v>
      </c>
      <c r="B75" s="128"/>
      <c r="C75" s="2"/>
      <c r="D75" s="2"/>
      <c r="E75" s="2"/>
      <c r="F75" s="2"/>
      <c r="G75" s="2">
        <f>1280106.96+331142.71</f>
        <v>1611249.67</v>
      </c>
      <c r="H75" s="2"/>
      <c r="I75" s="2">
        <f>1112706.33+292125.54</f>
        <v>1404831.87</v>
      </c>
      <c r="J75" s="2"/>
      <c r="K75" s="2">
        <f>1664826.89+424726.47</f>
        <v>2089553.3599999999</v>
      </c>
      <c r="L75" s="2"/>
      <c r="M75" s="2">
        <v>1291836.76</v>
      </c>
      <c r="N75" s="2"/>
      <c r="O75" s="2">
        <f>336869.12+1006180.12</f>
        <v>1343049.24</v>
      </c>
      <c r="P75" s="2"/>
      <c r="Q75" s="2">
        <f>290310.2+1054801</f>
        <v>1345111.2</v>
      </c>
      <c r="R75" s="2"/>
      <c r="S75" s="2">
        <f>210412.6+1031728.18</f>
        <v>1242140.78</v>
      </c>
      <c r="T75" s="2"/>
      <c r="U75" s="2">
        <f>144677.62+1051908.03</f>
        <v>1196585.6499999999</v>
      </c>
      <c r="V75" s="2"/>
      <c r="W75" s="2">
        <f>257630.31+1025805.39</f>
        <v>1283435.7</v>
      </c>
      <c r="X75" s="2"/>
      <c r="Y75" s="2"/>
      <c r="Z75" s="2"/>
      <c r="AA75" s="16">
        <f>367554.1+1092399.95</f>
        <v>1459954.0499999998</v>
      </c>
      <c r="AB75" s="16"/>
      <c r="AC75" s="16">
        <f>413160.07+976030.95</f>
        <v>1389191.02</v>
      </c>
      <c r="AD75" s="16"/>
      <c r="AE75" s="16">
        <f>399497.7+11131.38+1854102.36</f>
        <v>2264731.44</v>
      </c>
      <c r="AF75" s="16">
        <f>399497.7+1854102.36</f>
        <v>2253600.06</v>
      </c>
      <c r="AG75" s="16"/>
      <c r="AH75" s="16"/>
      <c r="AI75" s="16">
        <f>399597.7+2840800+11081.38</f>
        <v>3251479.08</v>
      </c>
      <c r="AJ75" s="16"/>
      <c r="AK75" s="16"/>
      <c r="AL75" s="16"/>
      <c r="AM75" s="23">
        <f>399497.7+17529.95+2611285.51</f>
        <v>3028313.1599999997</v>
      </c>
      <c r="AN75" s="23">
        <f>399497.7+2611285.51</f>
        <v>3010783.21</v>
      </c>
      <c r="AO75" s="23"/>
      <c r="AP75" s="23"/>
      <c r="AQ75" s="23">
        <f>361789.21+30945.99+2631554.85</f>
        <v>3024290.0500000003</v>
      </c>
      <c r="AR75" s="23">
        <f>361789.21+2631554.85</f>
        <v>2993344.06</v>
      </c>
      <c r="AS75" s="23"/>
      <c r="AT75" s="23"/>
      <c r="AU75" s="17"/>
      <c r="AV75" s="17"/>
    </row>
    <row r="76" spans="1:48" ht="27.6" customHeight="1">
      <c r="A76" s="127" t="s">
        <v>8</v>
      </c>
      <c r="B76" s="128"/>
      <c r="C76" s="2"/>
      <c r="D76" s="2"/>
      <c r="E76" s="2"/>
      <c r="F76" s="2"/>
      <c r="G76" s="2">
        <f>191330.96+483962.51</f>
        <v>675293.47</v>
      </c>
      <c r="H76" s="2"/>
      <c r="I76" s="2">
        <f>171605.74+559066.92</f>
        <v>730672.66</v>
      </c>
      <c r="J76" s="2"/>
      <c r="K76" s="2">
        <f>209944.24+697945.82</f>
        <v>907890.05999999994</v>
      </c>
      <c r="L76" s="2"/>
      <c r="M76" s="2">
        <v>596611.02</v>
      </c>
      <c r="N76" s="2"/>
      <c r="O76" s="2">
        <f>198862.88+580042.1</f>
        <v>778904.98</v>
      </c>
      <c r="P76" s="2"/>
      <c r="Q76" s="2">
        <f>612669.18+219338.18</f>
        <v>832007.3600000001</v>
      </c>
      <c r="R76" s="2"/>
      <c r="S76" s="2">
        <f>201317.46+630998.38</f>
        <v>832315.84</v>
      </c>
      <c r="T76" s="2"/>
      <c r="U76" s="2">
        <f>184341.93+601701.1</f>
        <v>786043.03</v>
      </c>
      <c r="V76" s="2"/>
      <c r="W76" s="2">
        <f>177715.19+604861.18</f>
        <v>782576.37000000011</v>
      </c>
      <c r="X76" s="2"/>
      <c r="Y76" s="2">
        <v>-9193.7999999999993</v>
      </c>
      <c r="Z76" s="2"/>
      <c r="AA76" s="16">
        <f>254861.86+627161.14</f>
        <v>882023</v>
      </c>
      <c r="AB76" s="16"/>
      <c r="AC76" s="16">
        <f>363441.69+1320113.41</f>
        <v>1683555.0999999999</v>
      </c>
      <c r="AD76" s="16">
        <f>20923.56+643955.03</f>
        <v>664878.59000000008</v>
      </c>
      <c r="AE76" s="16">
        <f>283794.68+8867.96+960334.11</f>
        <v>1252996.75</v>
      </c>
      <c r="AF76" s="16">
        <f>283794.68+960334.11</f>
        <v>1244128.79</v>
      </c>
      <c r="AG76" s="16"/>
      <c r="AH76" s="16"/>
      <c r="AI76" s="16">
        <f>257174.49+1213163.76+30859.57</f>
        <v>1501197.82</v>
      </c>
      <c r="AJ76" s="16"/>
      <c r="AK76" s="16"/>
      <c r="AL76" s="16"/>
      <c r="AM76" s="23">
        <f>158284.05+10791.51+1060420.11</f>
        <v>1229495.6700000002</v>
      </c>
      <c r="AN76" s="23">
        <f>158284.05+1060420.11</f>
        <v>1218704.1600000001</v>
      </c>
      <c r="AO76" s="23"/>
      <c r="AP76" s="23"/>
      <c r="AQ76" s="23">
        <f>3+9345.69+1350649.61</f>
        <v>1359998.3</v>
      </c>
      <c r="AR76" s="23">
        <f>3+1350649.61</f>
        <v>1350652.61</v>
      </c>
      <c r="AS76" s="23"/>
      <c r="AT76" s="23"/>
      <c r="AU76" s="17"/>
      <c r="AV76" s="17"/>
    </row>
    <row r="77" spans="1:48">
      <c r="A77" s="127" t="s">
        <v>9</v>
      </c>
      <c r="B77" s="128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>
        <f>218898</f>
        <v>218898</v>
      </c>
      <c r="P77" s="2"/>
      <c r="Q77" s="2">
        <v>206882</v>
      </c>
      <c r="R77" s="2"/>
      <c r="S77" s="2">
        <v>165360</v>
      </c>
      <c r="T77" s="2"/>
      <c r="U77" s="2">
        <v>188686.65</v>
      </c>
      <c r="V77" s="2"/>
      <c r="W77" s="2">
        <f>191073</f>
        <v>191073</v>
      </c>
      <c r="X77" s="2"/>
      <c r="Y77" s="2">
        <v>-12759</v>
      </c>
      <c r="Z77" s="2"/>
      <c r="AA77" s="16"/>
      <c r="AB77" s="16"/>
      <c r="AC77" s="16"/>
      <c r="AD77" s="16"/>
      <c r="AE77" s="16">
        <f>92285.57+477</f>
        <v>92762.57</v>
      </c>
      <c r="AF77" s="16">
        <v>92285.57</v>
      </c>
      <c r="AG77" s="16"/>
      <c r="AH77" s="16"/>
      <c r="AI77" s="16">
        <f>119356.57+170</f>
        <v>119526.57</v>
      </c>
      <c r="AJ77" s="16"/>
      <c r="AK77" s="16"/>
      <c r="AL77" s="16"/>
      <c r="AM77" s="23">
        <v>64281.21</v>
      </c>
      <c r="AN77" s="23">
        <v>64281.21</v>
      </c>
      <c r="AO77" s="23"/>
      <c r="AP77" s="23"/>
      <c r="AQ77" s="23"/>
      <c r="AR77" s="23"/>
      <c r="AS77" s="23"/>
      <c r="AT77" s="23"/>
      <c r="AU77" s="17"/>
      <c r="AV77" s="17"/>
    </row>
    <row r="78" spans="1:48">
      <c r="A78" s="127" t="s">
        <v>14</v>
      </c>
      <c r="B78" s="128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>
        <v>2683.17</v>
      </c>
      <c r="Z78" s="2"/>
      <c r="AA78" s="16">
        <v>199342.7</v>
      </c>
      <c r="AB78" s="16"/>
      <c r="AC78" s="16">
        <f>1258375.62</f>
        <v>1258375.6200000001</v>
      </c>
      <c r="AD78" s="16">
        <v>844102</v>
      </c>
      <c r="AE78" s="16">
        <f>633441.77</f>
        <v>633441.77</v>
      </c>
      <c r="AF78" s="16">
        <v>633441.77</v>
      </c>
      <c r="AG78" s="16"/>
      <c r="AH78" s="16"/>
      <c r="AI78" s="16">
        <v>455519.72</v>
      </c>
      <c r="AJ78" s="16"/>
      <c r="AK78" s="16"/>
      <c r="AL78" s="16"/>
      <c r="AM78" s="23">
        <v>477748.33</v>
      </c>
      <c r="AN78" s="23">
        <v>477748.33</v>
      </c>
      <c r="AO78" s="23"/>
      <c r="AP78" s="23"/>
      <c r="AQ78" s="23">
        <v>495974.96</v>
      </c>
      <c r="AR78" s="23">
        <v>495974.96</v>
      </c>
      <c r="AS78" s="23"/>
      <c r="AT78" s="23"/>
      <c r="AU78" s="17"/>
      <c r="AV78" s="17"/>
    </row>
    <row r="79" spans="1:48">
      <c r="A79" s="139" t="s">
        <v>52</v>
      </c>
      <c r="B79" s="140"/>
      <c r="C79" s="138">
        <v>10765845.27</v>
      </c>
      <c r="D79" s="138">
        <v>7171240.7400000002</v>
      </c>
      <c r="E79" s="138">
        <f>SUM(E81:E85)</f>
        <v>13066265.32</v>
      </c>
      <c r="F79" s="138">
        <f>SUM(F81:F85)</f>
        <v>9363054.25</v>
      </c>
      <c r="G79" s="138">
        <f t="shared" ref="G79:AC79" si="21">SUM(G81:G85)</f>
        <v>12452961.670000002</v>
      </c>
      <c r="H79" s="138">
        <f t="shared" si="21"/>
        <v>10697359.270000001</v>
      </c>
      <c r="I79" s="138">
        <f t="shared" si="21"/>
        <v>10509503.82</v>
      </c>
      <c r="J79" s="138">
        <f t="shared" si="21"/>
        <v>9311032.910000002</v>
      </c>
      <c r="K79" s="138">
        <f t="shared" si="21"/>
        <v>9816963.7700000014</v>
      </c>
      <c r="L79" s="138">
        <f t="shared" si="21"/>
        <v>9514146.0000000019</v>
      </c>
      <c r="M79" s="138">
        <f t="shared" si="21"/>
        <v>10491903.119999999</v>
      </c>
      <c r="N79" s="138">
        <f t="shared" si="21"/>
        <v>10223094.629999999</v>
      </c>
      <c r="O79" s="138">
        <f t="shared" si="21"/>
        <v>11041075.82</v>
      </c>
      <c r="P79" s="138">
        <f t="shared" si="21"/>
        <v>9852688.540000001</v>
      </c>
      <c r="Q79" s="138">
        <f t="shared" si="21"/>
        <v>11491967.560000001</v>
      </c>
      <c r="R79" s="138">
        <f t="shared" si="21"/>
        <v>9865070.0600000005</v>
      </c>
      <c r="S79" s="138">
        <f t="shared" si="21"/>
        <v>12060303.5</v>
      </c>
      <c r="T79" s="138">
        <f t="shared" si="21"/>
        <v>10862190.040000001</v>
      </c>
      <c r="U79" s="138">
        <f t="shared" si="21"/>
        <v>11619250.300000001</v>
      </c>
      <c r="V79" s="138">
        <f t="shared" si="21"/>
        <v>9816511.040000001</v>
      </c>
      <c r="W79" s="138">
        <f t="shared" si="21"/>
        <v>11514591.1</v>
      </c>
      <c r="X79" s="138">
        <f t="shared" si="21"/>
        <v>10293165.02</v>
      </c>
      <c r="Y79" s="138">
        <f t="shared" si="21"/>
        <v>14972637.870000001</v>
      </c>
      <c r="Z79" s="138">
        <f t="shared" si="21"/>
        <v>11006589.689999999</v>
      </c>
      <c r="AA79" s="145">
        <f t="shared" si="21"/>
        <v>11434380.700000001</v>
      </c>
      <c r="AB79" s="145">
        <f t="shared" si="21"/>
        <v>1118646.56</v>
      </c>
      <c r="AC79" s="145">
        <f t="shared" si="21"/>
        <v>20378851.969999999</v>
      </c>
      <c r="AD79" s="145">
        <f t="shared" ref="AD79:AG79" si="22">AD81+AD82+AD83+AD84+AD85</f>
        <v>6845671.4899999993</v>
      </c>
      <c r="AE79" s="125">
        <f t="shared" si="22"/>
        <v>16329235.25</v>
      </c>
      <c r="AF79" s="125">
        <v>0</v>
      </c>
      <c r="AG79" s="125">
        <f t="shared" si="22"/>
        <v>5018242.82</v>
      </c>
      <c r="AH79" s="125">
        <v>0</v>
      </c>
      <c r="AI79" s="125">
        <f>AI81+AI82+AI83+AI84+AI85</f>
        <v>11485051.780000001</v>
      </c>
      <c r="AJ79" s="125"/>
      <c r="AK79" s="125">
        <f t="shared" ref="AK79:AT79" si="23">AK81+AK82+AK83+AK84+AK85</f>
        <v>0</v>
      </c>
      <c r="AL79" s="125">
        <f t="shared" si="23"/>
        <v>0</v>
      </c>
      <c r="AM79" s="150">
        <f t="shared" si="23"/>
        <v>7488101.6000000006</v>
      </c>
      <c r="AN79" s="150">
        <f t="shared" si="23"/>
        <v>0</v>
      </c>
      <c r="AO79" s="150">
        <f t="shared" si="23"/>
        <v>0</v>
      </c>
      <c r="AP79" s="150">
        <f t="shared" si="23"/>
        <v>0</v>
      </c>
      <c r="AQ79" s="150">
        <f t="shared" si="23"/>
        <v>11238706.430000002</v>
      </c>
      <c r="AR79" s="150">
        <f t="shared" si="23"/>
        <v>0</v>
      </c>
      <c r="AS79" s="150">
        <f t="shared" si="23"/>
        <v>0</v>
      </c>
      <c r="AT79" s="150">
        <f t="shared" si="23"/>
        <v>0</v>
      </c>
      <c r="AU79" s="143">
        <f>AQ79/AM79-1</f>
        <v>0.50087525922458109</v>
      </c>
      <c r="AV79" s="143" t="e">
        <f>AS79/AO79-1</f>
        <v>#DIV/0!</v>
      </c>
    </row>
    <row r="80" spans="1:48">
      <c r="A80" s="141"/>
      <c r="B80" s="142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32"/>
      <c r="AB80" s="132"/>
      <c r="AC80" s="132"/>
      <c r="AD80" s="132"/>
      <c r="AE80" s="126"/>
      <c r="AF80" s="126"/>
      <c r="AG80" s="126"/>
      <c r="AH80" s="126"/>
      <c r="AI80" s="126"/>
      <c r="AJ80" s="126"/>
      <c r="AK80" s="126"/>
      <c r="AL80" s="126"/>
      <c r="AM80" s="151"/>
      <c r="AN80" s="151"/>
      <c r="AO80" s="151"/>
      <c r="AP80" s="151"/>
      <c r="AQ80" s="151"/>
      <c r="AR80" s="151"/>
      <c r="AS80" s="151"/>
      <c r="AT80" s="151"/>
      <c r="AU80" s="144"/>
      <c r="AV80" s="144"/>
    </row>
    <row r="81" spans="1:48" ht="44.4" customHeight="1">
      <c r="A81" s="127" t="s">
        <v>10</v>
      </c>
      <c r="B81" s="128"/>
      <c r="C81" s="2"/>
      <c r="D81" s="2"/>
      <c r="E81" s="2">
        <v>1445875.56</v>
      </c>
      <c r="F81" s="2">
        <v>504057.32</v>
      </c>
      <c r="G81" s="2">
        <f>15780.83+1401592.32</f>
        <v>1417373.1500000001</v>
      </c>
      <c r="H81" s="2">
        <f>497307.75</f>
        <v>497307.75</v>
      </c>
      <c r="I81" s="2">
        <f>14359.15+1094634.15</f>
        <v>1108993.2999999998</v>
      </c>
      <c r="J81" s="2">
        <v>581610.39</v>
      </c>
      <c r="K81" s="2">
        <f>45290.3+812014.95</f>
        <v>857305.25</v>
      </c>
      <c r="L81" s="2">
        <v>554487.48</v>
      </c>
      <c r="M81" s="2">
        <f>22392+828113.09</f>
        <v>850505.09</v>
      </c>
      <c r="N81" s="2">
        <f>581696.6</f>
        <v>581696.6</v>
      </c>
      <c r="O81" s="2">
        <f>24207.15+1590490.12</f>
        <v>1614697.27</v>
      </c>
      <c r="P81" s="2">
        <f>484794.48</f>
        <v>484794.48</v>
      </c>
      <c r="Q81" s="2">
        <v>1906086.62</v>
      </c>
      <c r="R81" s="2"/>
      <c r="S81" s="2">
        <f>23600.15+1705289.54</f>
        <v>1728889.69</v>
      </c>
      <c r="T81" s="2">
        <v>530776.23</v>
      </c>
      <c r="U81" s="2">
        <f>2268996.34+30919.15</f>
        <v>2299915.4899999998</v>
      </c>
      <c r="V81" s="2">
        <v>497176.23</v>
      </c>
      <c r="W81" s="2">
        <f>2127960.81+48959.2</f>
        <v>2176920.0100000002</v>
      </c>
      <c r="X81" s="2">
        <v>955493.93</v>
      </c>
      <c r="Y81" s="2">
        <v>2219644.2799999998</v>
      </c>
      <c r="Z81" s="2">
        <f>782752.86</f>
        <v>782752.86</v>
      </c>
      <c r="AA81" s="16">
        <f>25455.33+3676740.99</f>
        <v>3702196.3200000003</v>
      </c>
      <c r="AB81" s="16">
        <v>370926</v>
      </c>
      <c r="AC81" s="16">
        <f>25119.87+10218497.79</f>
        <v>10243617.659999998</v>
      </c>
      <c r="AD81" s="16">
        <v>3812324.48</v>
      </c>
      <c r="AE81" s="16">
        <f>36469.87+5446750.25</f>
        <v>5483220.1200000001</v>
      </c>
      <c r="AF81" s="32">
        <v>0</v>
      </c>
      <c r="AG81" s="16">
        <v>2700000</v>
      </c>
      <c r="AH81" s="16">
        <v>0</v>
      </c>
      <c r="AI81" s="16">
        <f>10710.07+2822965.23</f>
        <v>2833675.3</v>
      </c>
      <c r="AJ81" s="16"/>
      <c r="AK81" s="16"/>
      <c r="AL81" s="16"/>
      <c r="AM81" s="23">
        <f>9192.56+2282555.49</f>
        <v>2291748.0500000003</v>
      </c>
      <c r="AN81" s="23"/>
      <c r="AO81" s="23"/>
      <c r="AP81" s="23"/>
      <c r="AQ81" s="23">
        <f>34905.55+2437268.53</f>
        <v>2472174.0799999996</v>
      </c>
      <c r="AR81" s="23"/>
      <c r="AS81" s="23"/>
      <c r="AT81" s="23"/>
      <c r="AU81" s="17"/>
      <c r="AV81" s="17"/>
    </row>
    <row r="82" spans="1:48">
      <c r="A82" s="127" t="s">
        <v>7</v>
      </c>
      <c r="B82" s="128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>
        <v>107414.79</v>
      </c>
      <c r="R82" s="2"/>
      <c r="S82" s="2"/>
      <c r="T82" s="2"/>
      <c r="U82" s="2"/>
      <c r="V82" s="2"/>
      <c r="W82" s="2"/>
      <c r="X82" s="2"/>
      <c r="Y82" s="2"/>
      <c r="Z82" s="2"/>
      <c r="AA82" s="16">
        <f>240366.78+3338386.23</f>
        <v>3578753.01</v>
      </c>
      <c r="AB82" s="16"/>
      <c r="AC82" s="16">
        <f>213303.85+3570475.36</f>
        <v>3783779.21</v>
      </c>
      <c r="AD82" s="16"/>
      <c r="AE82" s="16">
        <f>1013379.37+4504888.09</f>
        <v>5518267.46</v>
      </c>
      <c r="AF82" s="16"/>
      <c r="AG82" s="16"/>
      <c r="AH82" s="16"/>
      <c r="AI82" s="16">
        <f>1131560.79+5170327.87</f>
        <v>6301888.6600000001</v>
      </c>
      <c r="AJ82" s="16"/>
      <c r="AK82" s="16"/>
      <c r="AL82" s="16"/>
      <c r="AM82" s="23">
        <v>4301429.2699999996</v>
      </c>
      <c r="AN82" s="23"/>
      <c r="AO82" s="23"/>
      <c r="AP82" s="23"/>
      <c r="AQ82" s="23">
        <f>1029542.74+4974269.98</f>
        <v>6003812.7200000007</v>
      </c>
      <c r="AR82" s="23"/>
      <c r="AS82" s="23"/>
      <c r="AT82" s="23"/>
      <c r="AU82" s="17"/>
      <c r="AV82" s="17"/>
    </row>
    <row r="83" spans="1:48" ht="31.8" customHeight="1">
      <c r="A83" s="127" t="s">
        <v>8</v>
      </c>
      <c r="B83" s="128"/>
      <c r="C83" s="2"/>
      <c r="D83" s="2"/>
      <c r="E83" s="2">
        <v>1463841.51</v>
      </c>
      <c r="F83" s="2"/>
      <c r="G83" s="2">
        <v>166700</v>
      </c>
      <c r="H83" s="2"/>
      <c r="I83" s="2"/>
      <c r="J83" s="2"/>
      <c r="K83" s="2"/>
      <c r="L83" s="2"/>
      <c r="M83" s="2"/>
      <c r="N83" s="2"/>
      <c r="O83" s="2">
        <v>27151.16</v>
      </c>
      <c r="P83" s="2"/>
      <c r="Q83" s="2">
        <v>78572.100000000006</v>
      </c>
      <c r="R83" s="2"/>
      <c r="S83" s="2"/>
      <c r="T83" s="2"/>
      <c r="U83" s="2"/>
      <c r="V83" s="2"/>
      <c r="W83" s="2"/>
      <c r="X83" s="2"/>
      <c r="Y83" s="2">
        <v>1439851.12</v>
      </c>
      <c r="Z83" s="2"/>
      <c r="AA83" s="16">
        <f>182858.49+1828141.64</f>
        <v>2011000.13</v>
      </c>
      <c r="AB83" s="16"/>
      <c r="AC83" s="16">
        <f>194574.38+2050743.86</f>
        <v>2245318.2400000002</v>
      </c>
      <c r="AD83" s="16"/>
      <c r="AE83" s="16">
        <f>840855.82+2166721.03</f>
        <v>3007576.8499999996</v>
      </c>
      <c r="AF83" s="16"/>
      <c r="AG83" s="16"/>
      <c r="AH83" s="16"/>
      <c r="AI83" s="16">
        <f>482166.78+1867321.04</f>
        <v>2349487.8200000003</v>
      </c>
      <c r="AJ83" s="16"/>
      <c r="AK83" s="16"/>
      <c r="AL83" s="16"/>
      <c r="AM83" s="23">
        <f>63.85+894860.43</f>
        <v>894924.28</v>
      </c>
      <c r="AN83" s="23"/>
      <c r="AO83" s="23"/>
      <c r="AP83" s="23"/>
      <c r="AQ83" s="23">
        <f>577955.16+2184764.47</f>
        <v>2762719.6300000004</v>
      </c>
      <c r="AR83" s="23"/>
      <c r="AS83" s="23"/>
      <c r="AT83" s="23"/>
      <c r="AU83" s="17"/>
      <c r="AV83" s="17"/>
    </row>
    <row r="84" spans="1:48">
      <c r="A84" s="127" t="s">
        <v>9</v>
      </c>
      <c r="B84" s="128"/>
      <c r="C84" s="2"/>
      <c r="D84" s="2"/>
      <c r="E84" s="2">
        <v>10156548.25</v>
      </c>
      <c r="F84" s="2">
        <v>8858996.9299999997</v>
      </c>
      <c r="G84" s="2">
        <f>317.3+10868571.22</f>
        <v>10868888.520000001</v>
      </c>
      <c r="H84" s="2">
        <f>10199734.22+317.3</f>
        <v>10200051.520000001</v>
      </c>
      <c r="I84" s="2">
        <f>317.3+9400193.22</f>
        <v>9400510.5200000014</v>
      </c>
      <c r="J84" s="2">
        <f>317.3+8729105.22</f>
        <v>8729422.5200000014</v>
      </c>
      <c r="K84" s="2">
        <f>317.3+8959341.22</f>
        <v>8959658.5200000014</v>
      </c>
      <c r="L84" s="2">
        <f>317.3+8959341.22</f>
        <v>8959658.5200000014</v>
      </c>
      <c r="M84" s="2">
        <v>9641398.0299999993</v>
      </c>
      <c r="N84" s="2">
        <v>9641398.0299999993</v>
      </c>
      <c r="O84" s="2">
        <f>9367894.06</f>
        <v>9367894.0600000005</v>
      </c>
      <c r="P84" s="2">
        <f>9367894.06</f>
        <v>9367894.0600000005</v>
      </c>
      <c r="Q84" s="2">
        <f>9367894.06</f>
        <v>9367894.0600000005</v>
      </c>
      <c r="R84" s="2">
        <v>9865070.0600000005</v>
      </c>
      <c r="S84" s="2">
        <v>10331413.810000001</v>
      </c>
      <c r="T84" s="2">
        <v>10331413.810000001</v>
      </c>
      <c r="U84" s="2">
        <v>9319334.8100000005</v>
      </c>
      <c r="V84" s="2">
        <v>9319334.8100000005</v>
      </c>
      <c r="W84" s="2">
        <f>9337671.09</f>
        <v>9337671.0899999999</v>
      </c>
      <c r="X84" s="2">
        <v>9337671.0899999999</v>
      </c>
      <c r="Y84" s="2">
        <v>11178667.26</v>
      </c>
      <c r="Z84" s="2">
        <v>10089361.619999999</v>
      </c>
      <c r="AA84" s="16">
        <f>41557.97+1353152.71</f>
        <v>1394710.68</v>
      </c>
      <c r="AB84" s="16"/>
      <c r="AC84" s="16">
        <f>79834.83+2444326.98</f>
        <v>2524161.81</v>
      </c>
      <c r="AD84" s="16">
        <v>1451371.96</v>
      </c>
      <c r="AE84" s="16">
        <v>497002</v>
      </c>
      <c r="AF84" s="16"/>
      <c r="AG84" s="16">
        <v>495074</v>
      </c>
      <c r="AH84" s="16"/>
      <c r="AI84" s="16"/>
      <c r="AJ84" s="16"/>
      <c r="AK84" s="16"/>
      <c r="AL84" s="16"/>
      <c r="AM84" s="23"/>
      <c r="AN84" s="23"/>
      <c r="AO84" s="23"/>
      <c r="AP84" s="23"/>
      <c r="AQ84" s="23"/>
      <c r="AR84" s="23"/>
      <c r="AS84" s="23"/>
      <c r="AT84" s="23"/>
      <c r="AU84" s="17"/>
      <c r="AV84" s="17"/>
    </row>
    <row r="85" spans="1:48">
      <c r="A85" s="127" t="s">
        <v>14</v>
      </c>
      <c r="B85" s="128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>
        <v>31333.33</v>
      </c>
      <c r="P85" s="2"/>
      <c r="Q85" s="2">
        <v>31999.99</v>
      </c>
      <c r="R85" s="2"/>
      <c r="S85" s="2"/>
      <c r="T85" s="2"/>
      <c r="U85" s="2"/>
      <c r="V85" s="2"/>
      <c r="W85" s="2"/>
      <c r="X85" s="2"/>
      <c r="Y85" s="2">
        <v>134475.21</v>
      </c>
      <c r="Z85" s="2">
        <v>134475.21</v>
      </c>
      <c r="AA85" s="16">
        <v>747720.56</v>
      </c>
      <c r="AB85" s="16">
        <v>747720.56</v>
      </c>
      <c r="AC85" s="16">
        <v>1581975.05</v>
      </c>
      <c r="AD85" s="16">
        <v>1581975.05</v>
      </c>
      <c r="AE85" s="16">
        <v>1823168.82</v>
      </c>
      <c r="AF85" s="16"/>
      <c r="AG85" s="16">
        <v>1823168.82</v>
      </c>
      <c r="AH85" s="16"/>
      <c r="AI85" s="13"/>
      <c r="AJ85" s="13"/>
      <c r="AK85" s="13"/>
      <c r="AL85" s="13"/>
      <c r="AM85" s="13"/>
      <c r="AN85" s="13"/>
      <c r="AO85" s="13"/>
      <c r="AP85" s="13"/>
      <c r="AQ85" s="23"/>
      <c r="AR85" s="23"/>
      <c r="AS85" s="23"/>
      <c r="AT85" s="23"/>
      <c r="AU85" s="17"/>
      <c r="AV85" s="17"/>
    </row>
    <row r="86" spans="1:48" hidden="1">
      <c r="A86" s="139" t="s">
        <v>4</v>
      </c>
      <c r="B86" s="140"/>
      <c r="C86" s="138">
        <v>654159.29</v>
      </c>
      <c r="D86" s="138">
        <f>SUM(D88:D92)</f>
        <v>0</v>
      </c>
      <c r="E86" s="138">
        <f t="shared" ref="E86:Z86" si="24">SUM(E88:E92)</f>
        <v>159427.71</v>
      </c>
      <c r="F86" s="138">
        <f t="shared" si="24"/>
        <v>156150</v>
      </c>
      <c r="G86" s="138">
        <f t="shared" si="24"/>
        <v>166323.26</v>
      </c>
      <c r="H86" s="138">
        <f t="shared" si="24"/>
        <v>156150</v>
      </c>
      <c r="I86" s="138">
        <f t="shared" si="24"/>
        <v>158187.54</v>
      </c>
      <c r="J86" s="138">
        <f t="shared" si="24"/>
        <v>156150</v>
      </c>
      <c r="K86" s="138">
        <f t="shared" si="24"/>
        <v>157389.10999999999</v>
      </c>
      <c r="L86" s="138">
        <f t="shared" si="24"/>
        <v>156150</v>
      </c>
      <c r="M86" s="138">
        <f t="shared" si="24"/>
        <v>162310.56</v>
      </c>
      <c r="N86" s="138">
        <f t="shared" si="24"/>
        <v>156150</v>
      </c>
      <c r="O86" s="138">
        <f t="shared" si="24"/>
        <v>158206.72</v>
      </c>
      <c r="P86" s="138">
        <f t="shared" si="24"/>
        <v>156150</v>
      </c>
      <c r="Q86" s="138">
        <f t="shared" si="24"/>
        <v>162910.32999999999</v>
      </c>
      <c r="R86" s="138">
        <f t="shared" si="24"/>
        <v>156150</v>
      </c>
      <c r="S86" s="138">
        <f t="shared" si="24"/>
        <v>159608.60999999999</v>
      </c>
      <c r="T86" s="138">
        <f t="shared" si="24"/>
        <v>156150</v>
      </c>
      <c r="U86" s="138">
        <f t="shared" si="24"/>
        <v>157986.35</v>
      </c>
      <c r="V86" s="138">
        <f t="shared" si="24"/>
        <v>156150</v>
      </c>
      <c r="W86" s="138">
        <f t="shared" si="24"/>
        <v>159926.9</v>
      </c>
      <c r="X86" s="138">
        <f t="shared" si="24"/>
        <v>156150</v>
      </c>
      <c r="Y86" s="138">
        <f t="shared" si="24"/>
        <v>0</v>
      </c>
      <c r="Z86" s="138">
        <f t="shared" si="24"/>
        <v>0</v>
      </c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152">
        <f>Y86/E86-1</f>
        <v>-1</v>
      </c>
      <c r="AV86" s="152">
        <f>Z86/F86-1</f>
        <v>-1</v>
      </c>
    </row>
    <row r="87" spans="1:48" hidden="1">
      <c r="A87" s="141"/>
      <c r="B87" s="142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153"/>
      <c r="AV87" s="153"/>
    </row>
    <row r="88" spans="1:48" hidden="1">
      <c r="A88" s="127" t="s">
        <v>10</v>
      </c>
      <c r="B88" s="128"/>
      <c r="C88" s="2"/>
      <c r="D88" s="2"/>
      <c r="E88" s="2">
        <v>2936.71</v>
      </c>
      <c r="F88" s="2"/>
      <c r="G88" s="2">
        <v>10173.26</v>
      </c>
      <c r="H88" s="2"/>
      <c r="I88" s="2">
        <v>2037.54</v>
      </c>
      <c r="J88" s="2"/>
      <c r="K88" s="2">
        <v>1239.1099999999999</v>
      </c>
      <c r="L88" s="2"/>
      <c r="M88" s="2">
        <v>6160.56</v>
      </c>
      <c r="N88" s="2"/>
      <c r="O88" s="2">
        <v>2056.7199999999998</v>
      </c>
      <c r="P88" s="2"/>
      <c r="Q88" s="2">
        <v>4968.33</v>
      </c>
      <c r="R88" s="2"/>
      <c r="S88" s="2">
        <v>3458.61</v>
      </c>
      <c r="T88" s="2"/>
      <c r="U88" s="2">
        <v>1836.35</v>
      </c>
      <c r="V88" s="2"/>
      <c r="W88" s="2">
        <v>3776.9</v>
      </c>
      <c r="X88" s="2"/>
      <c r="Y88" s="2"/>
      <c r="Z88" s="2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30"/>
      <c r="AV88" s="30"/>
    </row>
    <row r="89" spans="1:48" hidden="1">
      <c r="A89" s="127" t="s">
        <v>7</v>
      </c>
      <c r="B89" s="128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30"/>
      <c r="AV89" s="30"/>
    </row>
    <row r="90" spans="1:48" hidden="1">
      <c r="A90" s="127" t="s">
        <v>8</v>
      </c>
      <c r="B90" s="128"/>
      <c r="C90" s="2"/>
      <c r="D90" s="2"/>
      <c r="E90" s="2">
        <v>-10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30"/>
      <c r="AV90" s="30"/>
    </row>
    <row r="91" spans="1:48" hidden="1">
      <c r="A91" s="127" t="s">
        <v>9</v>
      </c>
      <c r="B91" s="128"/>
      <c r="C91" s="2"/>
      <c r="D91" s="2"/>
      <c r="E91" s="2">
        <v>351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>
        <v>1792</v>
      </c>
      <c r="R91" s="2"/>
      <c r="S91" s="2"/>
      <c r="T91" s="2"/>
      <c r="U91" s="2"/>
      <c r="V91" s="2"/>
      <c r="W91" s="2"/>
      <c r="X91" s="2"/>
      <c r="Y91" s="2"/>
      <c r="Z91" s="2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30"/>
      <c r="AV91" s="30"/>
    </row>
    <row r="92" spans="1:48" hidden="1">
      <c r="A92" s="127" t="s">
        <v>14</v>
      </c>
      <c r="B92" s="128"/>
      <c r="C92" s="2"/>
      <c r="D92" s="2"/>
      <c r="E92" s="2">
        <v>156150</v>
      </c>
      <c r="F92" s="2">
        <v>156150</v>
      </c>
      <c r="G92" s="2">
        <v>156150</v>
      </c>
      <c r="H92" s="2">
        <v>156150</v>
      </c>
      <c r="I92" s="2">
        <v>156150</v>
      </c>
      <c r="J92" s="2">
        <v>156150</v>
      </c>
      <c r="K92" s="2">
        <v>156150</v>
      </c>
      <c r="L92" s="2">
        <v>156150</v>
      </c>
      <c r="M92" s="2">
        <v>156150</v>
      </c>
      <c r="N92" s="2">
        <v>156150</v>
      </c>
      <c r="O92" s="2">
        <v>156150</v>
      </c>
      <c r="P92" s="2">
        <v>156150</v>
      </c>
      <c r="Q92" s="2">
        <v>156150</v>
      </c>
      <c r="R92" s="2">
        <v>156150</v>
      </c>
      <c r="S92" s="2">
        <v>156150</v>
      </c>
      <c r="T92" s="2">
        <v>156150</v>
      </c>
      <c r="U92" s="2">
        <v>156150</v>
      </c>
      <c r="V92" s="2">
        <v>156150</v>
      </c>
      <c r="W92" s="2">
        <v>156150</v>
      </c>
      <c r="X92" s="2">
        <v>156150</v>
      </c>
      <c r="Y92" s="2">
        <v>0</v>
      </c>
      <c r="Z92" s="2">
        <v>0</v>
      </c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30"/>
      <c r="AV92" s="30"/>
    </row>
    <row r="93" spans="1:48" hidden="1">
      <c r="A93" s="139" t="s">
        <v>15</v>
      </c>
      <c r="B93" s="140"/>
      <c r="C93" s="119">
        <v>10829169.880000001</v>
      </c>
      <c r="D93" s="119">
        <f>1640975.89+2975186.97+988391.8</f>
        <v>5604554.6600000001</v>
      </c>
      <c r="E93" s="119">
        <f>SUM(E95:E99)</f>
        <v>6197764.7700000005</v>
      </c>
      <c r="F93" s="119">
        <f>SUM(F95:F99)</f>
        <v>3749667.49</v>
      </c>
      <c r="G93" s="119">
        <f t="shared" ref="G93:AD93" si="25">SUM(G95:G99)</f>
        <v>6852948.2799999993</v>
      </c>
      <c r="H93" s="119">
        <f t="shared" si="25"/>
        <v>3749667.49</v>
      </c>
      <c r="I93" s="119">
        <f t="shared" si="25"/>
        <v>5929212.6499999994</v>
      </c>
      <c r="J93" s="119">
        <f t="shared" si="25"/>
        <v>2974471.0500000003</v>
      </c>
      <c r="K93" s="119">
        <f t="shared" si="25"/>
        <v>7559967.5599999996</v>
      </c>
      <c r="L93" s="119">
        <f t="shared" si="25"/>
        <v>2974471.0500000003</v>
      </c>
      <c r="M93" s="119">
        <f t="shared" si="25"/>
        <v>6930316.6799999997</v>
      </c>
      <c r="N93" s="119">
        <f t="shared" si="25"/>
        <v>4894294.6399999997</v>
      </c>
      <c r="O93" s="119">
        <f t="shared" si="25"/>
        <v>7219255.4799999995</v>
      </c>
      <c r="P93" s="119">
        <f t="shared" si="25"/>
        <v>4894294.6399999997</v>
      </c>
      <c r="Q93" s="119">
        <f t="shared" si="25"/>
        <v>9600917.8499999996</v>
      </c>
      <c r="R93" s="119">
        <f t="shared" si="25"/>
        <v>4651292.82</v>
      </c>
      <c r="S93" s="119">
        <f t="shared" si="25"/>
        <v>8525632.5199999996</v>
      </c>
      <c r="T93" s="119">
        <f t="shared" si="25"/>
        <v>4005766.16</v>
      </c>
      <c r="U93" s="119">
        <f t="shared" si="25"/>
        <v>10599393.380000001</v>
      </c>
      <c r="V93" s="119">
        <f t="shared" si="25"/>
        <v>1496363.55</v>
      </c>
      <c r="W93" s="119">
        <f t="shared" si="25"/>
        <v>20377243.73</v>
      </c>
      <c r="X93" s="119">
        <f t="shared" si="25"/>
        <v>1496363.55</v>
      </c>
      <c r="Y93" s="119">
        <f t="shared" si="25"/>
        <v>20412653.610000003</v>
      </c>
      <c r="Z93" s="119">
        <f t="shared" si="25"/>
        <v>13308419.82</v>
      </c>
      <c r="AA93" s="131">
        <f t="shared" si="25"/>
        <v>54055934.440000005</v>
      </c>
      <c r="AB93" s="131">
        <f t="shared" si="25"/>
        <v>17697811.539999999</v>
      </c>
      <c r="AC93" s="131">
        <f t="shared" si="25"/>
        <v>61418098.109999999</v>
      </c>
      <c r="AD93" s="131">
        <f t="shared" si="25"/>
        <v>39172056.890000001</v>
      </c>
      <c r="AE93" s="121">
        <f>AE95+AE96+AE97+AE98+AE99</f>
        <v>75253.62</v>
      </c>
      <c r="AF93" s="121">
        <v>0</v>
      </c>
      <c r="AG93" s="121">
        <v>0</v>
      </c>
      <c r="AH93" s="121">
        <v>0</v>
      </c>
      <c r="AI93" s="121">
        <f t="shared" ref="AI93:AP93" si="26">AI95+AI96+AI97+AI98+AI99</f>
        <v>0</v>
      </c>
      <c r="AJ93" s="121">
        <f t="shared" si="26"/>
        <v>0</v>
      </c>
      <c r="AK93" s="121">
        <f t="shared" si="26"/>
        <v>0</v>
      </c>
      <c r="AL93" s="121">
        <f t="shared" si="26"/>
        <v>0</v>
      </c>
      <c r="AM93" s="154">
        <f t="shared" si="26"/>
        <v>0</v>
      </c>
      <c r="AN93" s="154">
        <f t="shared" si="26"/>
        <v>0</v>
      </c>
      <c r="AO93" s="154">
        <f t="shared" si="26"/>
        <v>0</v>
      </c>
      <c r="AP93" s="154">
        <f t="shared" si="26"/>
        <v>0</v>
      </c>
      <c r="AQ93" s="86"/>
      <c r="AR93" s="86"/>
      <c r="AS93" s="86"/>
      <c r="AT93" s="86"/>
      <c r="AU93" s="152" t="e">
        <f>AM93/AI93-1</f>
        <v>#DIV/0!</v>
      </c>
      <c r="AV93" s="152" t="e">
        <f>AO93/AK93-1</f>
        <v>#DIV/0!</v>
      </c>
    </row>
    <row r="94" spans="1:48" hidden="1">
      <c r="A94" s="141"/>
      <c r="B94" s="142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32"/>
      <c r="AB94" s="132"/>
      <c r="AC94" s="132"/>
      <c r="AD94" s="132"/>
      <c r="AE94" s="122"/>
      <c r="AF94" s="122"/>
      <c r="AG94" s="122"/>
      <c r="AH94" s="122"/>
      <c r="AI94" s="122"/>
      <c r="AJ94" s="122"/>
      <c r="AK94" s="122"/>
      <c r="AL94" s="122"/>
      <c r="AM94" s="155"/>
      <c r="AN94" s="155"/>
      <c r="AO94" s="155"/>
      <c r="AP94" s="155"/>
      <c r="AQ94" s="87"/>
      <c r="AR94" s="87"/>
      <c r="AS94" s="87"/>
      <c r="AT94" s="87"/>
      <c r="AU94" s="153"/>
      <c r="AV94" s="153"/>
    </row>
    <row r="95" spans="1:48" hidden="1">
      <c r="A95" s="127" t="s">
        <v>10</v>
      </c>
      <c r="B95" s="128"/>
      <c r="C95" s="1"/>
      <c r="D95" s="1"/>
      <c r="E95" s="1">
        <v>6195284.0800000001</v>
      </c>
      <c r="F95" s="1">
        <f>3363056.56+386610.93</f>
        <v>3749667.49</v>
      </c>
      <c r="G95" s="1">
        <f>2263909.36+4559378.25</f>
        <v>6823287.6099999994</v>
      </c>
      <c r="H95" s="1">
        <f>386610.93+3363056.56</f>
        <v>3749667.49</v>
      </c>
      <c r="I95" s="1">
        <f>1799893.76+4099496.79</f>
        <v>5899390.5499999998</v>
      </c>
      <c r="J95" s="1">
        <f>386610.93+2587860.12</f>
        <v>2974471.0500000003</v>
      </c>
      <c r="K95" s="1">
        <f>5416106.16+2141154.26+1386.18+1320.96</f>
        <v>7559967.5599999996</v>
      </c>
      <c r="L95" s="1">
        <f>2587860.12+386610.93</f>
        <v>2974471.0500000003</v>
      </c>
      <c r="M95" s="1">
        <v>6930316.6799999997</v>
      </c>
      <c r="N95" s="1">
        <v>4894294.6399999997</v>
      </c>
      <c r="O95" s="1">
        <f>1865798.47+5348998.75</f>
        <v>7214797.2199999997</v>
      </c>
      <c r="P95" s="1">
        <f>386610.93+4507683.71</f>
        <v>4894294.6399999997</v>
      </c>
      <c r="Q95" s="1">
        <v>9600917.8499999996</v>
      </c>
      <c r="R95" s="1">
        <v>4651292.82</v>
      </c>
      <c r="S95" s="1">
        <f>2951333.92+5555295.68+15251.76+3751.16</f>
        <v>8525632.5199999996</v>
      </c>
      <c r="T95" s="1">
        <f>3619155.23+386610.93</f>
        <v>4005766.16</v>
      </c>
      <c r="U95" s="1">
        <f>1992205.58+8591549.02+5323.15+10315.63</f>
        <v>10599393.380000001</v>
      </c>
      <c r="V95" s="1">
        <f>1109752.62+386610.93</f>
        <v>1496363.55</v>
      </c>
      <c r="W95" s="1">
        <f>10545735.23+9823125.67+3422.46+4960.37</f>
        <v>20377243.73</v>
      </c>
      <c r="X95" s="1">
        <f>386610.93+1109752.62</f>
        <v>1496363.55</v>
      </c>
      <c r="Y95" s="1">
        <v>20441640.960000001</v>
      </c>
      <c r="Z95" s="1">
        <v>13308419.82</v>
      </c>
      <c r="AA95" s="19">
        <f>33166250.55+116.03+20185020.65+10333.24-153588.27</f>
        <v>53208132.200000003</v>
      </c>
      <c r="AB95" s="19">
        <f>17535000.48+162811.06-153588.27</f>
        <v>17544223.27</v>
      </c>
      <c r="AC95" s="19">
        <f>44014737.97+19482.3+16465957.71</f>
        <v>60500177.979999997</v>
      </c>
      <c r="AD95" s="19">
        <f>29503554.98+9668501.91</f>
        <v>39172056.890000001</v>
      </c>
      <c r="AE95" s="19">
        <v>75253.62</v>
      </c>
      <c r="AF95" s="19">
        <v>0</v>
      </c>
      <c r="AG95" s="19">
        <v>0</v>
      </c>
      <c r="AH95" s="19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34"/>
      <c r="AV95" s="34"/>
    </row>
    <row r="96" spans="1:48" hidden="1">
      <c r="A96" s="127" t="s">
        <v>7</v>
      </c>
      <c r="B96" s="128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9">
        <f>174701.03+239873.77</f>
        <v>414574.8</v>
      </c>
      <c r="AB96" s="19"/>
      <c r="AC96" s="19">
        <f>340113.75+6309.58+298211.41</f>
        <v>644634.74</v>
      </c>
      <c r="AD96" s="19"/>
      <c r="AE96" s="19"/>
      <c r="AF96" s="19"/>
      <c r="AG96" s="19"/>
      <c r="AH96" s="19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34"/>
      <c r="AV96" s="34"/>
    </row>
    <row r="97" spans="1:49" hidden="1">
      <c r="A97" s="127" t="s">
        <v>8</v>
      </c>
      <c r="B97" s="128"/>
      <c r="C97" s="1"/>
      <c r="D97" s="1"/>
      <c r="E97" s="1"/>
      <c r="F97" s="1"/>
      <c r="G97" s="1">
        <v>-0.01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9">
        <v>150004.17000000001</v>
      </c>
      <c r="AB97" s="19"/>
      <c r="AC97" s="19">
        <f>218911.42+53273.97</f>
        <v>272185.39</v>
      </c>
      <c r="AD97" s="19"/>
      <c r="AE97" s="19"/>
      <c r="AF97" s="19"/>
      <c r="AG97" s="19"/>
      <c r="AH97" s="19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34"/>
      <c r="AV97" s="34"/>
    </row>
    <row r="98" spans="1:49" hidden="1">
      <c r="A98" s="127" t="s">
        <v>9</v>
      </c>
      <c r="B98" s="128"/>
      <c r="C98" s="1"/>
      <c r="D98" s="1"/>
      <c r="E98" s="1"/>
      <c r="F98" s="1"/>
      <c r="G98" s="1">
        <v>-67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>
        <v>-94199.79</v>
      </c>
      <c r="Z98" s="1"/>
      <c r="AA98" s="19">
        <f>129635</f>
        <v>129635</v>
      </c>
      <c r="AB98" s="19"/>
      <c r="AC98" s="19"/>
      <c r="AD98" s="19"/>
      <c r="AE98" s="19"/>
      <c r="AF98" s="19"/>
      <c r="AG98" s="19"/>
      <c r="AH98" s="19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34"/>
      <c r="AV98" s="34"/>
    </row>
    <row r="99" spans="1:49" hidden="1">
      <c r="A99" s="127" t="s">
        <v>14</v>
      </c>
      <c r="B99" s="128"/>
      <c r="C99" s="1"/>
      <c r="D99" s="1"/>
      <c r="E99" s="1">
        <v>2480.69</v>
      </c>
      <c r="F99" s="1"/>
      <c r="G99" s="1">
        <f>10138.57+19589.11</f>
        <v>29727.68</v>
      </c>
      <c r="H99" s="1"/>
      <c r="I99" s="1">
        <f>14183.88+15638.22</f>
        <v>29822.1</v>
      </c>
      <c r="J99" s="1"/>
      <c r="K99" s="1"/>
      <c r="L99" s="1"/>
      <c r="M99" s="1"/>
      <c r="N99" s="1"/>
      <c r="O99" s="1">
        <v>4458.26</v>
      </c>
      <c r="P99" s="1"/>
      <c r="Q99" s="1"/>
      <c r="R99" s="1"/>
      <c r="S99" s="1"/>
      <c r="T99" s="1"/>
      <c r="U99" s="1"/>
      <c r="V99" s="1"/>
      <c r="W99" s="1"/>
      <c r="X99" s="1"/>
      <c r="Y99" s="1">
        <v>65212.44</v>
      </c>
      <c r="Z99" s="1"/>
      <c r="AA99" s="19">
        <v>153588.26999999999</v>
      </c>
      <c r="AB99" s="19">
        <v>153588.26999999999</v>
      </c>
      <c r="AC99" s="19">
        <v>1100</v>
      </c>
      <c r="AD99" s="19"/>
      <c r="AE99" s="19"/>
      <c r="AF99" s="19"/>
      <c r="AG99" s="19"/>
      <c r="AH99" s="19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34"/>
      <c r="AV99" s="34"/>
    </row>
    <row r="100" spans="1:49">
      <c r="A100" s="139" t="s">
        <v>13</v>
      </c>
      <c r="B100" s="140"/>
      <c r="C100" s="138">
        <v>-1470.89</v>
      </c>
      <c r="D100" s="138">
        <f>SUM(D102:D106)</f>
        <v>0</v>
      </c>
      <c r="E100" s="138">
        <f t="shared" ref="E100:AB100" si="27">SUM(E102:E106)</f>
        <v>741.25</v>
      </c>
      <c r="F100" s="138">
        <f t="shared" si="27"/>
        <v>0</v>
      </c>
      <c r="G100" s="138">
        <f t="shared" si="27"/>
        <v>0</v>
      </c>
      <c r="H100" s="138">
        <f t="shared" si="27"/>
        <v>0</v>
      </c>
      <c r="I100" s="138">
        <f t="shared" si="27"/>
        <v>0</v>
      </c>
      <c r="J100" s="138">
        <f t="shared" si="27"/>
        <v>0</v>
      </c>
      <c r="K100" s="138">
        <f t="shared" si="27"/>
        <v>0</v>
      </c>
      <c r="L100" s="138">
        <f t="shared" si="27"/>
        <v>0</v>
      </c>
      <c r="M100" s="138">
        <f t="shared" si="27"/>
        <v>0</v>
      </c>
      <c r="N100" s="138">
        <f t="shared" si="27"/>
        <v>0</v>
      </c>
      <c r="O100" s="138">
        <f t="shared" si="27"/>
        <v>0</v>
      </c>
      <c r="P100" s="138">
        <f t="shared" si="27"/>
        <v>0</v>
      </c>
      <c r="Q100" s="138">
        <f t="shared" si="27"/>
        <v>0</v>
      </c>
      <c r="R100" s="138">
        <f t="shared" si="27"/>
        <v>0</v>
      </c>
      <c r="S100" s="138">
        <f t="shared" si="27"/>
        <v>0</v>
      </c>
      <c r="T100" s="138">
        <f t="shared" si="27"/>
        <v>0</v>
      </c>
      <c r="U100" s="138">
        <f t="shared" si="27"/>
        <v>0</v>
      </c>
      <c r="V100" s="138">
        <f t="shared" si="27"/>
        <v>0</v>
      </c>
      <c r="W100" s="138">
        <f t="shared" si="27"/>
        <v>0</v>
      </c>
      <c r="X100" s="138">
        <f t="shared" si="27"/>
        <v>0</v>
      </c>
      <c r="Y100" s="138">
        <f t="shared" si="27"/>
        <v>0</v>
      </c>
      <c r="Z100" s="138">
        <f t="shared" si="27"/>
        <v>0</v>
      </c>
      <c r="AA100" s="145">
        <f>AA102+AA103+AA104+AA105+AA106</f>
        <v>84248.31</v>
      </c>
      <c r="AB100" s="145">
        <f t="shared" si="27"/>
        <v>0</v>
      </c>
      <c r="AC100" s="145">
        <f>SUM(AC102:AC106)</f>
        <v>130082.92000000001</v>
      </c>
      <c r="AD100" s="145">
        <f>SUM(AD102:AD106)</f>
        <v>0</v>
      </c>
      <c r="AE100" s="125">
        <f t="shared" ref="AE100:AT100" si="28">AE102+AE103+AE104+AE105+AE106</f>
        <v>45365.68</v>
      </c>
      <c r="AF100" s="125">
        <f t="shared" si="28"/>
        <v>0</v>
      </c>
      <c r="AG100" s="125">
        <v>0</v>
      </c>
      <c r="AH100" s="125">
        <f t="shared" si="28"/>
        <v>0</v>
      </c>
      <c r="AI100" s="125">
        <f t="shared" si="28"/>
        <v>0</v>
      </c>
      <c r="AJ100" s="125">
        <f t="shared" si="28"/>
        <v>0</v>
      </c>
      <c r="AK100" s="125">
        <f t="shared" si="28"/>
        <v>0</v>
      </c>
      <c r="AL100" s="125">
        <f t="shared" si="28"/>
        <v>0</v>
      </c>
      <c r="AM100" s="125">
        <f t="shared" si="28"/>
        <v>0</v>
      </c>
      <c r="AN100" s="125">
        <f t="shared" si="28"/>
        <v>0</v>
      </c>
      <c r="AO100" s="125">
        <f t="shared" si="28"/>
        <v>0</v>
      </c>
      <c r="AP100" s="125">
        <f t="shared" si="28"/>
        <v>0</v>
      </c>
      <c r="AQ100" s="150">
        <f t="shared" si="28"/>
        <v>79481</v>
      </c>
      <c r="AR100" s="150">
        <f t="shared" si="28"/>
        <v>0</v>
      </c>
      <c r="AS100" s="150">
        <f t="shared" si="28"/>
        <v>0</v>
      </c>
      <c r="AT100" s="150">
        <f t="shared" si="28"/>
        <v>0</v>
      </c>
      <c r="AU100" s="143" t="e">
        <f>AQ100/AM100-1</f>
        <v>#DIV/0!</v>
      </c>
      <c r="AV100" s="143" t="e">
        <f>AS100/AO100-1</f>
        <v>#DIV/0!</v>
      </c>
      <c r="AW100" s="44"/>
    </row>
    <row r="101" spans="1:49">
      <c r="A101" s="141"/>
      <c r="B101" s="142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32"/>
      <c r="AB101" s="132"/>
      <c r="AC101" s="158"/>
      <c r="AD101" s="132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51"/>
      <c r="AR101" s="151"/>
      <c r="AS101" s="151"/>
      <c r="AT101" s="151"/>
      <c r="AU101" s="144"/>
      <c r="AV101" s="144"/>
      <c r="AW101" s="44"/>
    </row>
    <row r="102" spans="1:49" ht="42.6" customHeight="1">
      <c r="A102" s="127" t="s">
        <v>10</v>
      </c>
      <c r="B102" s="128"/>
      <c r="C102" s="2"/>
      <c r="D102" s="2"/>
      <c r="E102" s="2">
        <v>741.25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16"/>
      <c r="AB102" s="16"/>
      <c r="AC102" s="16">
        <v>5034.4399999999996</v>
      </c>
      <c r="AD102" s="13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23"/>
      <c r="AR102" s="23"/>
      <c r="AS102" s="23"/>
      <c r="AT102" s="23"/>
      <c r="AU102" s="17"/>
      <c r="AV102" s="17"/>
      <c r="AW102" s="44"/>
    </row>
    <row r="103" spans="1:49">
      <c r="A103" s="127" t="s">
        <v>7</v>
      </c>
      <c r="B103" s="128"/>
      <c r="C103" s="2"/>
      <c r="D103" s="2"/>
      <c r="E103" s="2">
        <v>0</v>
      </c>
      <c r="F103" s="2">
        <v>0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16">
        <v>53091.66</v>
      </c>
      <c r="AB103" s="16"/>
      <c r="AC103" s="16">
        <v>81730</v>
      </c>
      <c r="AD103" s="13"/>
      <c r="AE103" s="16">
        <v>28290.47</v>
      </c>
      <c r="AF103" s="16"/>
      <c r="AG103" s="16"/>
      <c r="AH103" s="16"/>
      <c r="AI103" s="13"/>
      <c r="AJ103" s="13"/>
      <c r="AK103" s="13"/>
      <c r="AL103" s="13"/>
      <c r="AM103" s="16"/>
      <c r="AN103" s="16"/>
      <c r="AO103" s="16"/>
      <c r="AP103" s="16"/>
      <c r="AQ103" s="23">
        <v>52231.199999999997</v>
      </c>
      <c r="AR103" s="23"/>
      <c r="AS103" s="23"/>
      <c r="AT103" s="23"/>
      <c r="AU103" s="17"/>
      <c r="AV103" s="17"/>
      <c r="AW103" s="44"/>
    </row>
    <row r="104" spans="1:49" ht="31.2" customHeight="1">
      <c r="A104" s="127" t="s">
        <v>8</v>
      </c>
      <c r="B104" s="128"/>
      <c r="C104" s="2"/>
      <c r="D104" s="2"/>
      <c r="E104" s="2">
        <v>0</v>
      </c>
      <c r="F104" s="2">
        <v>0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16">
        <v>31156.65</v>
      </c>
      <c r="AB104" s="16"/>
      <c r="AC104" s="16">
        <v>43318.48</v>
      </c>
      <c r="AD104" s="13"/>
      <c r="AE104" s="16">
        <v>17075.21</v>
      </c>
      <c r="AF104" s="16"/>
      <c r="AG104" s="16"/>
      <c r="AH104" s="16"/>
      <c r="AI104" s="13"/>
      <c r="AJ104" s="13"/>
      <c r="AK104" s="13"/>
      <c r="AL104" s="13"/>
      <c r="AM104" s="16"/>
      <c r="AN104" s="16"/>
      <c r="AO104" s="16"/>
      <c r="AP104" s="16"/>
      <c r="AQ104" s="23">
        <v>27249.8</v>
      </c>
      <c r="AR104" s="23"/>
      <c r="AS104" s="23"/>
      <c r="AT104" s="23"/>
      <c r="AU104" s="17"/>
      <c r="AV104" s="17"/>
      <c r="AW104" s="44"/>
    </row>
    <row r="105" spans="1:49">
      <c r="A105" s="127" t="s">
        <v>9</v>
      </c>
      <c r="B105" s="128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16"/>
      <c r="AB105" s="23"/>
      <c r="AC105" s="13"/>
      <c r="AD105" s="13"/>
      <c r="AE105" s="16"/>
      <c r="AF105" s="16"/>
      <c r="AG105" s="16"/>
      <c r="AH105" s="16"/>
      <c r="AI105" s="13"/>
      <c r="AJ105" s="13"/>
      <c r="AK105" s="13"/>
      <c r="AL105" s="13"/>
      <c r="AM105" s="16"/>
      <c r="AN105" s="16"/>
      <c r="AO105" s="16"/>
      <c r="AP105" s="16"/>
      <c r="AQ105" s="23"/>
      <c r="AR105" s="23"/>
      <c r="AS105" s="23"/>
      <c r="AT105" s="23"/>
      <c r="AU105" s="17"/>
      <c r="AV105" s="17"/>
      <c r="AW105" s="44"/>
    </row>
    <row r="106" spans="1:49">
      <c r="A106" s="127" t="s">
        <v>14</v>
      </c>
      <c r="B106" s="128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30"/>
      <c r="AV106" s="30"/>
    </row>
    <row r="107" spans="1:49" ht="57.6" hidden="1">
      <c r="A107" s="7" t="s">
        <v>22</v>
      </c>
      <c r="B107" s="7"/>
      <c r="C107" s="9">
        <v>3090165.46</v>
      </c>
      <c r="D107" s="9">
        <v>3090165.46</v>
      </c>
      <c r="E107" s="9">
        <f>SUM(E108:E110)</f>
        <v>0</v>
      </c>
      <c r="F107" s="9">
        <f>SUM(F108:F110)</f>
        <v>0</v>
      </c>
      <c r="G107" s="9">
        <f t="shared" ref="G107:Z107" si="29">SUM(G108:G110)</f>
        <v>0</v>
      </c>
      <c r="H107" s="9">
        <f t="shared" si="29"/>
        <v>0</v>
      </c>
      <c r="I107" s="9">
        <f t="shared" si="29"/>
        <v>0</v>
      </c>
      <c r="J107" s="9">
        <f t="shared" si="29"/>
        <v>0</v>
      </c>
      <c r="K107" s="9">
        <f t="shared" si="29"/>
        <v>0</v>
      </c>
      <c r="L107" s="9">
        <f t="shared" si="29"/>
        <v>0</v>
      </c>
      <c r="M107" s="9">
        <f t="shared" si="29"/>
        <v>0</v>
      </c>
      <c r="N107" s="9">
        <f t="shared" si="29"/>
        <v>0</v>
      </c>
      <c r="O107" s="9">
        <f t="shared" si="29"/>
        <v>0</v>
      </c>
      <c r="P107" s="9">
        <f t="shared" si="29"/>
        <v>0</v>
      </c>
      <c r="Q107" s="9">
        <f t="shared" si="29"/>
        <v>0</v>
      </c>
      <c r="R107" s="9">
        <f t="shared" si="29"/>
        <v>0</v>
      </c>
      <c r="S107" s="9">
        <f t="shared" si="29"/>
        <v>0</v>
      </c>
      <c r="T107" s="9">
        <f t="shared" si="29"/>
        <v>0</v>
      </c>
      <c r="U107" s="9">
        <f t="shared" si="29"/>
        <v>0</v>
      </c>
      <c r="V107" s="9">
        <f t="shared" si="29"/>
        <v>0</v>
      </c>
      <c r="W107" s="9">
        <f t="shared" si="29"/>
        <v>0</v>
      </c>
      <c r="X107" s="9">
        <f t="shared" si="29"/>
        <v>0</v>
      </c>
      <c r="Y107" s="9">
        <f t="shared" si="29"/>
        <v>0</v>
      </c>
      <c r="Z107" s="9">
        <f t="shared" si="29"/>
        <v>0</v>
      </c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152">
        <v>0</v>
      </c>
      <c r="AV107" s="152">
        <v>0</v>
      </c>
    </row>
    <row r="108" spans="1:49" hidden="1">
      <c r="A108" s="127" t="s">
        <v>9</v>
      </c>
      <c r="B108" s="156"/>
      <c r="C108" s="2"/>
      <c r="D108" s="2"/>
      <c r="E108" s="2"/>
      <c r="F108" s="2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13"/>
      <c r="AB108" s="13"/>
      <c r="AC108" s="13"/>
      <c r="AD108" s="13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153"/>
      <c r="AV108" s="153"/>
    </row>
    <row r="109" spans="1:49" hidden="1">
      <c r="A109" s="157" t="s">
        <v>21</v>
      </c>
      <c r="B109" s="156"/>
      <c r="C109" s="9">
        <f>4008760.53+5844431.63+14283.75+179317.37</f>
        <v>10046793.279999999</v>
      </c>
      <c r="D109" s="9">
        <f>989699.04+1910943.77</f>
        <v>2900642.81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31"/>
      <c r="AV109" s="31"/>
    </row>
    <row r="110" spans="1:49" hidden="1">
      <c r="A110" s="8"/>
      <c r="B110" s="8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30"/>
      <c r="AV110" s="30"/>
    </row>
    <row r="111" spans="1:49">
      <c r="A111" s="157" t="s">
        <v>11</v>
      </c>
      <c r="B111" s="156"/>
      <c r="C111" s="10">
        <f>C8+C51+C58+C65+C72+C79+C86+C93+C100+C107+C109</f>
        <v>94587677.819999993</v>
      </c>
      <c r="D111" s="10">
        <f>D8+D51+D58+D65+D72+D79+D86+D93+D100+D107+D109</f>
        <v>68008770.719999999</v>
      </c>
      <c r="E111" s="10">
        <f t="shared" ref="E111:AD111" si="30">E8+E51+E58+E65+E72+E79+E86+E93+E100+E107</f>
        <v>85864729.75999999</v>
      </c>
      <c r="F111" s="10">
        <f t="shared" si="30"/>
        <v>66510808.209999993</v>
      </c>
      <c r="G111" s="10">
        <f t="shared" si="30"/>
        <v>93511066.090000018</v>
      </c>
      <c r="H111" s="10">
        <f t="shared" si="30"/>
        <v>66963948.660000004</v>
      </c>
      <c r="I111" s="10">
        <f t="shared" si="30"/>
        <v>92440148.88000001</v>
      </c>
      <c r="J111" s="10">
        <f t="shared" si="30"/>
        <v>69371696.100000009</v>
      </c>
      <c r="K111" s="10">
        <f t="shared" si="30"/>
        <v>93692017.959999993</v>
      </c>
      <c r="L111" s="10">
        <f t="shared" si="30"/>
        <v>72494645.030000001</v>
      </c>
      <c r="M111" s="10">
        <f t="shared" si="30"/>
        <v>95350288.340000004</v>
      </c>
      <c r="N111" s="10">
        <f t="shared" si="30"/>
        <v>74699098.340000004</v>
      </c>
      <c r="O111" s="10">
        <f t="shared" si="30"/>
        <v>92952938.269999996</v>
      </c>
      <c r="P111" s="10">
        <f t="shared" si="30"/>
        <v>82357876.220000014</v>
      </c>
      <c r="Q111" s="10">
        <f t="shared" si="30"/>
        <v>97449531.209999979</v>
      </c>
      <c r="R111" s="10">
        <f t="shared" si="30"/>
        <v>74441297.569999993</v>
      </c>
      <c r="S111" s="10">
        <f t="shared" si="30"/>
        <v>96755275.489999995</v>
      </c>
      <c r="T111" s="10">
        <f t="shared" si="30"/>
        <v>74719949.890000001</v>
      </c>
      <c r="U111" s="10">
        <f t="shared" si="30"/>
        <v>97352731.719999984</v>
      </c>
      <c r="V111" s="10">
        <f t="shared" si="30"/>
        <v>74918061.669999987</v>
      </c>
      <c r="W111" s="10">
        <f t="shared" si="30"/>
        <v>103431682.53</v>
      </c>
      <c r="X111" s="10">
        <f t="shared" si="30"/>
        <v>71550048.36999999</v>
      </c>
      <c r="Y111" s="10">
        <f t="shared" si="30"/>
        <v>139512827.16999999</v>
      </c>
      <c r="Z111" s="10">
        <f t="shared" si="30"/>
        <v>116277638.82999998</v>
      </c>
      <c r="AA111" s="20">
        <f t="shared" si="30"/>
        <v>136792938.08000001</v>
      </c>
      <c r="AB111" s="20">
        <f t="shared" si="30"/>
        <v>43344897.469999999</v>
      </c>
      <c r="AC111" s="20">
        <f t="shared" si="30"/>
        <v>211086618.58000001</v>
      </c>
      <c r="AD111" s="20">
        <f t="shared" si="30"/>
        <v>119975047.31999999</v>
      </c>
      <c r="AE111" s="20">
        <f t="shared" ref="AE111:AH111" si="31">AE8+AE51+AE58+AE65+AE72+AE79+AE93+AE100</f>
        <v>128946217.90000001</v>
      </c>
      <c r="AF111" s="20">
        <f t="shared" si="31"/>
        <v>32163242.649999999</v>
      </c>
      <c r="AG111" s="20">
        <f t="shared" si="31"/>
        <v>14429840.109999999</v>
      </c>
      <c r="AH111" s="20">
        <f t="shared" si="31"/>
        <v>0</v>
      </c>
      <c r="AI111" s="84">
        <f>AI8+AI51+AI58+AI65+AI72+AI79+AI93+AI100+AI21+AI27+AI33</f>
        <v>110206071.34</v>
      </c>
      <c r="AJ111" s="84">
        <f>AJ8+AJ51+AJ58+AJ65+AJ72+AJ79+AJ93+AJ100+AJ21+AJ27+AJ33</f>
        <v>26197666.589999996</v>
      </c>
      <c r="AK111" s="84">
        <f>AK8+AK51+AK58+AK65+AK72+AK79+AK93+AK100+AK21+AK27+AK33</f>
        <v>952355</v>
      </c>
      <c r="AL111" s="84">
        <f>AL8+AL51+AL58+AL65+AL72+AL79+AL93+AL100+AL21+AL27+AL33</f>
        <v>571235</v>
      </c>
      <c r="AM111" s="84">
        <f>AM8+AM51+AM58+AM65+AM72+AM79+AM93+AM100+AM21+AM27+AM33+AM39</f>
        <v>80776546.540000007</v>
      </c>
      <c r="AN111" s="84">
        <f>AN8+AN51+AN58+AN65+AN72+AN79+AN93+AN100+AN21+AN27+AN33+AN39+AN15</f>
        <v>35099528.390000001</v>
      </c>
      <c r="AO111" s="84">
        <f>AO8+AO51+AO58+AO65+AO72+AO79+AO93+AO100+AO21+AO27+AO33+AO15+AO39</f>
        <v>0</v>
      </c>
      <c r="AP111" s="84">
        <f>AP8+AP51+AP58+AP65+AP72+AP79+AP93+AP100+AP21+AP27+AP33+AP15+AP39</f>
        <v>0</v>
      </c>
      <c r="AQ111" s="85">
        <f>AQ8+AQ51+AQ58+AQ65+AQ72+AQ79+AQ93+AQ100+AQ21+AQ27+AQ33+AQ39</f>
        <v>102668392.44</v>
      </c>
      <c r="AR111" s="85">
        <f>AR8+AR51+AR58+AR65+AR72+AR79+AR93+AR100+AR21+AR27+AR33+AR39</f>
        <v>57215363.340000004</v>
      </c>
      <c r="AS111" s="85">
        <f>AS8+AS51+AS58+AS65+AS72+AS79+AS93+AS100+AS21+AS27+AS33+AS15+AS39</f>
        <v>7551208.0300000003</v>
      </c>
      <c r="AT111" s="85">
        <f>AT8+AT51+AT58+AT65+AT72+AT79+AT93+AT100+AT21+AT27+AT33+AT15+AT39</f>
        <v>7551208.0300000003</v>
      </c>
      <c r="AU111" s="58">
        <f>AQ111/AM111-1</f>
        <v>0.2710173538944165</v>
      </c>
      <c r="AV111" s="58" t="e">
        <f>AS111/AO111-1</f>
        <v>#DIV/0!</v>
      </c>
      <c r="AW111" s="44"/>
    </row>
    <row r="112" spans="1:49" ht="40.799999999999997" customHeight="1">
      <c r="A112" s="127" t="s">
        <v>10</v>
      </c>
      <c r="B112" s="156"/>
      <c r="C112" s="2">
        <f t="shared" ref="C112:AD116" si="32">C10+C53+C60+C67+C74+C81+C88+C95+C102</f>
        <v>0</v>
      </c>
      <c r="D112" s="2">
        <f t="shared" si="32"/>
        <v>0</v>
      </c>
      <c r="E112" s="2">
        <f t="shared" si="32"/>
        <v>17953226.410000004</v>
      </c>
      <c r="F112" s="2">
        <f t="shared" si="32"/>
        <v>6382951.8399999943</v>
      </c>
      <c r="G112" s="2">
        <f t="shared" si="32"/>
        <v>19216097.170000002</v>
      </c>
      <c r="H112" s="2">
        <f t="shared" si="32"/>
        <v>6555841.7200000007</v>
      </c>
      <c r="I112" s="2">
        <f t="shared" si="32"/>
        <v>22865503.460000001</v>
      </c>
      <c r="J112" s="2">
        <f t="shared" si="32"/>
        <v>5864947.9199999999</v>
      </c>
      <c r="K112" s="2">
        <f t="shared" si="32"/>
        <v>17090632.079999998</v>
      </c>
      <c r="L112" s="2">
        <f t="shared" si="32"/>
        <v>5837825.0099999998</v>
      </c>
      <c r="M112" s="2">
        <f t="shared" si="32"/>
        <v>16099291.18</v>
      </c>
      <c r="N112" s="2">
        <f t="shared" si="32"/>
        <v>7784857.7199999997</v>
      </c>
      <c r="O112" s="2">
        <f t="shared" si="32"/>
        <v>16094244.300000001</v>
      </c>
      <c r="P112" s="2">
        <f t="shared" si="32"/>
        <v>7902977.2199999997</v>
      </c>
      <c r="Q112" s="2">
        <f t="shared" si="32"/>
        <v>20791692.359999999</v>
      </c>
      <c r="R112" s="2">
        <f t="shared" si="32"/>
        <v>7175180.9199999999</v>
      </c>
      <c r="S112" s="2">
        <f t="shared" si="32"/>
        <v>20070445.379999999</v>
      </c>
      <c r="T112" s="2">
        <f t="shared" si="32"/>
        <v>6987489.4900000002</v>
      </c>
      <c r="U112" s="2">
        <f t="shared" si="32"/>
        <v>24410984.270000003</v>
      </c>
      <c r="V112" s="2">
        <f t="shared" si="32"/>
        <v>4182653.4699999997</v>
      </c>
      <c r="W112" s="2">
        <f t="shared" si="32"/>
        <v>34358661.780000001</v>
      </c>
      <c r="X112" s="2">
        <f t="shared" si="32"/>
        <v>4756662.17</v>
      </c>
      <c r="Y112" s="2">
        <f t="shared" si="32"/>
        <v>37550191.880000003</v>
      </c>
      <c r="Z112" s="2">
        <f t="shared" si="32"/>
        <v>19969076.690000001</v>
      </c>
      <c r="AA112" s="16">
        <f t="shared" si="32"/>
        <v>78679277.219999999</v>
      </c>
      <c r="AB112" s="16">
        <f t="shared" si="32"/>
        <v>28544503.479999997</v>
      </c>
      <c r="AC112" s="16">
        <f t="shared" si="32"/>
        <v>97897786.019999981</v>
      </c>
      <c r="AD112" s="16">
        <f t="shared" si="32"/>
        <v>50095879.390000001</v>
      </c>
      <c r="AE112" s="16">
        <f t="shared" ref="AE112:AH116" si="33">AE10+AE53+AE60+AE67+AE74+AE81+AE95+AE102</f>
        <v>59026929.369999997</v>
      </c>
      <c r="AF112" s="16">
        <f t="shared" si="33"/>
        <v>219982.55</v>
      </c>
      <c r="AG112" s="16">
        <f t="shared" si="33"/>
        <v>3777110.1399999997</v>
      </c>
      <c r="AH112" s="16">
        <f t="shared" si="33"/>
        <v>0</v>
      </c>
      <c r="AI112" s="16">
        <f t="shared" ref="AI112:AL116" si="34">AI10+AI53+AI60+AI67+AI74+AI81+AI95+AI102+AI22+AI28+AI34</f>
        <v>48091910.589999996</v>
      </c>
      <c r="AJ112" s="16">
        <f t="shared" si="34"/>
        <v>121925.19</v>
      </c>
      <c r="AK112" s="16">
        <f t="shared" si="34"/>
        <v>571235</v>
      </c>
      <c r="AL112" s="16">
        <f t="shared" si="34"/>
        <v>571235</v>
      </c>
      <c r="AM112" s="16">
        <f>AM10+AM22+AM28+AM34+AM46+AM53+AM60+AM67+AM74+AM81+AM95+AM102+AM40+AM16</f>
        <v>38238020.859999992</v>
      </c>
      <c r="AN112" s="16">
        <f>AN10+AN22+AN28+AN34+AN46+AN53+AN60+AN67+AN74+AN81+AN95+AN102+AN16+AN40</f>
        <v>7778804.1399999997</v>
      </c>
      <c r="AO112" s="16">
        <f>AO10+AO22+AO28+AO34+AO46+AO53+AO60+AO67+AO74+AO81+AO95+AO102+AO16+AO40</f>
        <v>0</v>
      </c>
      <c r="AP112" s="16">
        <f>AP10+AP22+AP28+AP34+AP46+AP53+AP60+AP67+AP74+AP81+AP95+AP102+AP16+AP40</f>
        <v>0</v>
      </c>
      <c r="AQ112" s="23">
        <f>AQ10+AQ22+AQ28+AQ34+AQ46+AQ53+AQ60+AQ67+AQ74+AQ81+AQ95+AQ102+AQ40+AQ16</f>
        <v>33184478.449999999</v>
      </c>
      <c r="AR112" s="23">
        <f>AR10+AR22+AR28+AR34+AR46+AR53+AR60+AR67+AR74+AR81+AR95+AR102+AR16+AR40</f>
        <v>16630634.58</v>
      </c>
      <c r="AS112" s="23">
        <f>AS10+AS22+AS28+AS34+AS46+AS53+AS60+AS67+AS74+AS81+AS95+AS102+AS16+AS40</f>
        <v>7551208.0300000003</v>
      </c>
      <c r="AT112" s="23">
        <f>AT10+AT22+AT28+AT34+AT46+AT53+AT60+AT67+AT74+AT81+AT95+AT102+AT16+AT40</f>
        <v>7551208.0300000003</v>
      </c>
      <c r="AU112" s="58"/>
      <c r="AV112" s="58"/>
      <c r="AW112" s="44"/>
    </row>
    <row r="113" spans="1:49">
      <c r="A113" s="127" t="s">
        <v>7</v>
      </c>
      <c r="B113" s="156"/>
      <c r="C113" s="2">
        <f t="shared" si="32"/>
        <v>0</v>
      </c>
      <c r="D113" s="2">
        <f t="shared" si="32"/>
        <v>0</v>
      </c>
      <c r="E113" s="2">
        <f t="shared" si="32"/>
        <v>0</v>
      </c>
      <c r="F113" s="2">
        <f t="shared" si="32"/>
        <v>0</v>
      </c>
      <c r="G113" s="2">
        <f t="shared" si="32"/>
        <v>1611249.67</v>
      </c>
      <c r="H113" s="2">
        <f t="shared" si="32"/>
        <v>0</v>
      </c>
      <c r="I113" s="2">
        <f t="shared" si="32"/>
        <v>1404831.87</v>
      </c>
      <c r="J113" s="2">
        <f t="shared" si="32"/>
        <v>0</v>
      </c>
      <c r="K113" s="2">
        <f t="shared" si="32"/>
        <v>2089553.3599999999</v>
      </c>
      <c r="L113" s="2">
        <f t="shared" si="32"/>
        <v>0</v>
      </c>
      <c r="M113" s="2">
        <f t="shared" si="32"/>
        <v>1291836.76</v>
      </c>
      <c r="N113" s="2">
        <f t="shared" si="32"/>
        <v>0</v>
      </c>
      <c r="O113" s="2">
        <f t="shared" si="32"/>
        <v>1343049.24</v>
      </c>
      <c r="P113" s="2">
        <f t="shared" si="32"/>
        <v>0</v>
      </c>
      <c r="Q113" s="2">
        <f t="shared" si="32"/>
        <v>1452525.99</v>
      </c>
      <c r="R113" s="2">
        <f t="shared" si="32"/>
        <v>0</v>
      </c>
      <c r="S113" s="2">
        <f t="shared" si="32"/>
        <v>1242140.78</v>
      </c>
      <c r="T113" s="2">
        <f t="shared" si="32"/>
        <v>0</v>
      </c>
      <c r="U113" s="2">
        <f t="shared" si="32"/>
        <v>1196585.6499999999</v>
      </c>
      <c r="V113" s="2">
        <f t="shared" si="32"/>
        <v>0</v>
      </c>
      <c r="W113" s="2">
        <f t="shared" si="32"/>
        <v>1283435.7</v>
      </c>
      <c r="X113" s="2">
        <f t="shared" si="32"/>
        <v>0</v>
      </c>
      <c r="Y113" s="2">
        <f t="shared" si="32"/>
        <v>0</v>
      </c>
      <c r="Z113" s="2">
        <f t="shared" si="32"/>
        <v>0</v>
      </c>
      <c r="AA113" s="16">
        <f t="shared" si="32"/>
        <v>28007459.789999999</v>
      </c>
      <c r="AB113" s="16">
        <f t="shared" si="32"/>
        <v>0</v>
      </c>
      <c r="AC113" s="16">
        <f t="shared" si="32"/>
        <v>33425614.419999998</v>
      </c>
      <c r="AD113" s="16">
        <f t="shared" si="32"/>
        <v>0</v>
      </c>
      <c r="AE113" s="16">
        <f t="shared" si="33"/>
        <v>36363970.560000002</v>
      </c>
      <c r="AF113" s="16">
        <f t="shared" si="33"/>
        <v>19065790.949999999</v>
      </c>
      <c r="AG113" s="16">
        <f t="shared" si="33"/>
        <v>0</v>
      </c>
      <c r="AH113" s="16">
        <f t="shared" si="33"/>
        <v>0</v>
      </c>
      <c r="AI113" s="16">
        <f t="shared" si="34"/>
        <v>34163653.079999998</v>
      </c>
      <c r="AJ113" s="16">
        <f t="shared" si="34"/>
        <v>16127711.879999999</v>
      </c>
      <c r="AK113" s="16">
        <f t="shared" si="34"/>
        <v>0</v>
      </c>
      <c r="AL113" s="16">
        <f t="shared" si="34"/>
        <v>0</v>
      </c>
      <c r="AM113" s="16">
        <f>AM11+AM23+AM29+AM35+AM47+AM54+AM61+AM68+AM75+AM82+AM96+AM103+AM17+AM41</f>
        <v>29409576.669999994</v>
      </c>
      <c r="AN113" s="16">
        <f>AN11+AN23+AN29+AN35+AN47+AN54+AN61+AN68+AN75+AN82+AN96+AN103+AN17+AN41</f>
        <v>18402119.850000001</v>
      </c>
      <c r="AO113" s="16">
        <f>AO11+AO23+AO29+AO35+AO47+AO54+AO61+AO68+AO75+AO82+AO96+AO103+AO17+AO41</f>
        <v>0</v>
      </c>
      <c r="AP113" s="16">
        <f>AP11+AP23+AP29+AP35+AP47+AP54+AP61+AP68+AP75+AP82+AP96+AP103+AP17+AP40</f>
        <v>0</v>
      </c>
      <c r="AQ113" s="23">
        <f>AQ11+AQ23+AQ29+AQ35+AQ47+AQ54+AQ61+AQ68+AQ75+AQ82+AQ96+AQ103+AQ17+AQ41</f>
        <v>37703050.520000003</v>
      </c>
      <c r="AR113" s="23">
        <f>AR11+AR23+AR29+AR35+AR47+AR54+AR61+AR68+AR75+AR82+AR96+AR103+AR17+AR41</f>
        <v>18186590.039999999</v>
      </c>
      <c r="AS113" s="23">
        <f>AS11+AS23+AS29+AS35+AS47+AS54+AS61+AS68+AS75+AS82+AS96+AS103+AS17+AS41</f>
        <v>0</v>
      </c>
      <c r="AT113" s="23">
        <f>AT11+AT23+AT29+AT35+AT47+AT54+AT61+AT68+AT75+AT82+AT96+AT103+AT17+AT40</f>
        <v>0</v>
      </c>
      <c r="AU113" s="58"/>
      <c r="AV113" s="58"/>
      <c r="AW113" s="44"/>
    </row>
    <row r="114" spans="1:49" ht="27.6" customHeight="1">
      <c r="A114" s="127" t="s">
        <v>8</v>
      </c>
      <c r="B114" s="156"/>
      <c r="C114" s="2">
        <f t="shared" si="32"/>
        <v>0</v>
      </c>
      <c r="D114" s="2">
        <f t="shared" si="32"/>
        <v>0</v>
      </c>
      <c r="E114" s="2">
        <f t="shared" si="32"/>
        <v>5781112.8999999994</v>
      </c>
      <c r="F114" s="2">
        <f t="shared" si="32"/>
        <v>0</v>
      </c>
      <c r="G114" s="2">
        <f t="shared" si="32"/>
        <v>841993.46</v>
      </c>
      <c r="H114" s="2">
        <f t="shared" si="32"/>
        <v>0</v>
      </c>
      <c r="I114" s="2">
        <f t="shared" si="32"/>
        <v>730672.66</v>
      </c>
      <c r="J114" s="2">
        <f t="shared" si="32"/>
        <v>0</v>
      </c>
      <c r="K114" s="2">
        <f t="shared" si="32"/>
        <v>907890.05999999994</v>
      </c>
      <c r="L114" s="2">
        <f t="shared" si="32"/>
        <v>0</v>
      </c>
      <c r="M114" s="2">
        <f t="shared" si="32"/>
        <v>596611.02</v>
      </c>
      <c r="N114" s="2">
        <f t="shared" si="32"/>
        <v>0</v>
      </c>
      <c r="O114" s="2">
        <f t="shared" si="32"/>
        <v>806056.14</v>
      </c>
      <c r="P114" s="2">
        <f t="shared" si="32"/>
        <v>0</v>
      </c>
      <c r="Q114" s="2">
        <f t="shared" si="32"/>
        <v>910579.46000000008</v>
      </c>
      <c r="R114" s="2">
        <f t="shared" si="32"/>
        <v>0</v>
      </c>
      <c r="S114" s="2">
        <f t="shared" si="32"/>
        <v>832315.84</v>
      </c>
      <c r="T114" s="2">
        <f t="shared" si="32"/>
        <v>0</v>
      </c>
      <c r="U114" s="2">
        <f t="shared" si="32"/>
        <v>786043.03</v>
      </c>
      <c r="V114" s="2">
        <f t="shared" si="32"/>
        <v>0</v>
      </c>
      <c r="W114" s="2">
        <f t="shared" si="32"/>
        <v>782576.37000000011</v>
      </c>
      <c r="X114" s="2">
        <f t="shared" si="32"/>
        <v>0</v>
      </c>
      <c r="Y114" s="2">
        <f t="shared" si="32"/>
        <v>4770499.5100000007</v>
      </c>
      <c r="Z114" s="2">
        <f t="shared" si="32"/>
        <v>0</v>
      </c>
      <c r="AA114" s="16">
        <f t="shared" si="32"/>
        <v>11517101.640000001</v>
      </c>
      <c r="AB114" s="16">
        <f t="shared" si="32"/>
        <v>0</v>
      </c>
      <c r="AC114" s="16">
        <f t="shared" si="32"/>
        <v>17884307.940000001</v>
      </c>
      <c r="AD114" s="16">
        <f t="shared" si="32"/>
        <v>11291466.59</v>
      </c>
      <c r="AE114" s="16">
        <f t="shared" si="33"/>
        <v>19682269.09</v>
      </c>
      <c r="AF114" s="16">
        <f t="shared" si="33"/>
        <v>9924703.2199999988</v>
      </c>
      <c r="AG114" s="16">
        <f t="shared" si="33"/>
        <v>0</v>
      </c>
      <c r="AH114" s="16">
        <f t="shared" si="33"/>
        <v>0</v>
      </c>
      <c r="AI114" s="16">
        <f t="shared" si="34"/>
        <v>19422993.020000003</v>
      </c>
      <c r="AJ114" s="16">
        <f t="shared" si="34"/>
        <v>9100808</v>
      </c>
      <c r="AK114" s="16">
        <f t="shared" si="34"/>
        <v>0</v>
      </c>
      <c r="AL114" s="16">
        <f t="shared" si="34"/>
        <v>0</v>
      </c>
      <c r="AM114" s="16">
        <f>AM12+AM24+AM30+AM36+AM48+AM55+AM62+AM69+AM76+AM83+AM97+AM104+AM18+AM42</f>
        <v>12055886.539999999</v>
      </c>
      <c r="AN114" s="16">
        <f>AN12+AN24+AN30+AN36+AN48+AN55+AN62+AN69+AN76+AN83+AN97+AN104+AO18+AN42</f>
        <v>7725839.5099999998</v>
      </c>
      <c r="AO114" s="16">
        <f t="shared" ref="AO114:AP116" si="35">AO12+AO24+AO30+AO36+AO48+AO55+AO62+AO69+AO76+AO83+AO97+AO104+AO18+AO42</f>
        <v>0</v>
      </c>
      <c r="AP114" s="16">
        <f t="shared" si="35"/>
        <v>0</v>
      </c>
      <c r="AQ114" s="23">
        <f>AQ12+AQ24+AQ30+AQ36+AQ48+AQ55+AQ62+AQ69+AQ76+AQ83+AQ97+AQ104+AQ18+AQ42</f>
        <v>24190664.149999999</v>
      </c>
      <c r="AR114" s="23">
        <f>AR12+AR24+AR30+AR36+AR48+AR55+AR62+AR69+AR76+AR83+AR97+AR104+AS18+AR42</f>
        <v>13810739.109999999</v>
      </c>
      <c r="AS114" s="23">
        <f t="shared" ref="AS114:AT116" si="36">AS12+AS24+AS30+AS36+AS48+AS55+AS62+AS69+AS76+AS83+AS97+AS104+AS18+AS42</f>
        <v>0</v>
      </c>
      <c r="AT114" s="23">
        <f t="shared" si="36"/>
        <v>0</v>
      </c>
      <c r="AU114" s="58"/>
      <c r="AV114" s="58"/>
      <c r="AW114" s="44"/>
    </row>
    <row r="115" spans="1:49">
      <c r="A115" s="127" t="s">
        <v>9</v>
      </c>
      <c r="B115" s="156"/>
      <c r="C115" s="2">
        <f t="shared" ref="C115:Z115" si="37">C13+C56+C63+C70+C77+C84+C91+C98+C105+C108</f>
        <v>0</v>
      </c>
      <c r="D115" s="2">
        <f t="shared" si="37"/>
        <v>0</v>
      </c>
      <c r="E115" s="2">
        <f t="shared" si="37"/>
        <v>60461371.310000002</v>
      </c>
      <c r="F115" s="2">
        <f t="shared" si="37"/>
        <v>58245420.57</v>
      </c>
      <c r="G115" s="2">
        <f t="shared" si="37"/>
        <v>69929562.310000002</v>
      </c>
      <c r="H115" s="2">
        <f t="shared" si="37"/>
        <v>58525671.140000001</v>
      </c>
      <c r="I115" s="2">
        <f t="shared" si="37"/>
        <v>65526882.990000002</v>
      </c>
      <c r="J115" s="2">
        <f t="shared" si="37"/>
        <v>61624312.380000003</v>
      </c>
      <c r="K115" s="2">
        <f t="shared" si="37"/>
        <v>71721506.659999996</v>
      </c>
      <c r="L115" s="2">
        <f t="shared" si="37"/>
        <v>64774384.220000006</v>
      </c>
      <c r="M115" s="2">
        <f t="shared" si="37"/>
        <v>75480113.579999998</v>
      </c>
      <c r="N115" s="2">
        <f t="shared" si="37"/>
        <v>65031804.82</v>
      </c>
      <c r="O115" s="2">
        <f t="shared" si="37"/>
        <v>72791361.200000003</v>
      </c>
      <c r="P115" s="2">
        <f t="shared" si="37"/>
        <v>72572463.200000003</v>
      </c>
      <c r="Q115" s="2">
        <f t="shared" si="37"/>
        <v>72380297.609999999</v>
      </c>
      <c r="R115" s="2">
        <f t="shared" si="37"/>
        <v>65383680.850000001</v>
      </c>
      <c r="S115" s="2">
        <f t="shared" si="37"/>
        <v>72695876.399999991</v>
      </c>
      <c r="T115" s="2">
        <f t="shared" si="37"/>
        <v>65850024.600000001</v>
      </c>
      <c r="U115" s="2">
        <f t="shared" si="37"/>
        <v>69041659.049999997</v>
      </c>
      <c r="V115" s="2">
        <f t="shared" si="37"/>
        <v>68852972.399999991</v>
      </c>
      <c r="W115" s="2">
        <f t="shared" si="37"/>
        <v>65102023.400000006</v>
      </c>
      <c r="X115" s="2">
        <f t="shared" si="37"/>
        <v>64910950.400000006</v>
      </c>
      <c r="Y115" s="2">
        <f t="shared" si="37"/>
        <v>66208215.299999997</v>
      </c>
      <c r="Z115" s="2">
        <f t="shared" si="37"/>
        <v>65394874.099999994</v>
      </c>
      <c r="AA115" s="16">
        <f t="shared" si="32"/>
        <v>14182522.93</v>
      </c>
      <c r="AB115" s="16">
        <f t="shared" si="32"/>
        <v>12430432.640000001</v>
      </c>
      <c r="AC115" s="16">
        <f t="shared" si="32"/>
        <v>21526116.329999998</v>
      </c>
      <c r="AD115" s="16">
        <f t="shared" si="32"/>
        <v>20453326.48</v>
      </c>
      <c r="AE115" s="16">
        <f t="shared" si="33"/>
        <v>6002746.2800000012</v>
      </c>
      <c r="AF115" s="16">
        <f t="shared" si="33"/>
        <v>92285.57</v>
      </c>
      <c r="AG115" s="16">
        <f t="shared" si="33"/>
        <v>5647572.7300000004</v>
      </c>
      <c r="AH115" s="16">
        <f t="shared" si="33"/>
        <v>0</v>
      </c>
      <c r="AI115" s="16">
        <f t="shared" si="34"/>
        <v>500646.57</v>
      </c>
      <c r="AJ115" s="16">
        <f t="shared" si="34"/>
        <v>0</v>
      </c>
      <c r="AK115" s="16">
        <f t="shared" si="34"/>
        <v>381120</v>
      </c>
      <c r="AL115" s="16">
        <f t="shared" si="34"/>
        <v>0</v>
      </c>
      <c r="AM115" s="16">
        <f>AM13+AM25+AM31+AM37+AM49+AM56+AM63+AM70+AM77+AM84+AM98+AM105+AM19+AM43</f>
        <v>101526.20999999999</v>
      </c>
      <c r="AN115" s="16">
        <f>AN13+AN25+AN31+AN37+AN49+AN56+AN63+AN70+AN77+AN84+AN98+AN105+AN19+AN43</f>
        <v>64281.21</v>
      </c>
      <c r="AO115" s="16">
        <f t="shared" si="35"/>
        <v>0</v>
      </c>
      <c r="AP115" s="16">
        <f t="shared" si="35"/>
        <v>0</v>
      </c>
      <c r="AQ115" s="23">
        <f>AQ13+AQ25+AQ31+AQ37+AQ49+AQ56+AQ63+AQ70+AQ77+AQ84+AQ98+AQ105+AQ19+AQ43</f>
        <v>0</v>
      </c>
      <c r="AR115" s="23">
        <f>AR13+AR25+AR31+AR37+AR49+AR56+AR63+AR70+AR77+AR84+AR98+AR105+AR19+AR43</f>
        <v>0</v>
      </c>
      <c r="AS115" s="23">
        <f t="shared" si="36"/>
        <v>0</v>
      </c>
      <c r="AT115" s="23">
        <f t="shared" si="36"/>
        <v>0</v>
      </c>
      <c r="AU115" s="58"/>
      <c r="AV115" s="58"/>
      <c r="AW115" s="44"/>
    </row>
    <row r="116" spans="1:49">
      <c r="A116" s="127" t="s">
        <v>14</v>
      </c>
      <c r="B116" s="156"/>
      <c r="C116" s="2">
        <f t="shared" ref="C116:Z116" si="38">C14+C57+C64+C71+C78+C85+C92+C99+C106</f>
        <v>0</v>
      </c>
      <c r="D116" s="2">
        <f t="shared" si="38"/>
        <v>0</v>
      </c>
      <c r="E116" s="2">
        <f t="shared" si="38"/>
        <v>1669019.14</v>
      </c>
      <c r="F116" s="2">
        <f t="shared" si="38"/>
        <v>1882435.7999999998</v>
      </c>
      <c r="G116" s="2">
        <f t="shared" si="38"/>
        <v>1912163.48</v>
      </c>
      <c r="H116" s="2">
        <f t="shared" si="38"/>
        <v>1882435.8</v>
      </c>
      <c r="I116" s="2">
        <f t="shared" si="38"/>
        <v>1912257.9000000001</v>
      </c>
      <c r="J116" s="2">
        <f t="shared" si="38"/>
        <v>1882435.8</v>
      </c>
      <c r="K116" s="2">
        <f t="shared" si="38"/>
        <v>1882435.8</v>
      </c>
      <c r="L116" s="2">
        <f t="shared" si="38"/>
        <v>1882435.8</v>
      </c>
      <c r="M116" s="2">
        <f t="shared" si="38"/>
        <v>1882435.8</v>
      </c>
      <c r="N116" s="2">
        <f t="shared" si="38"/>
        <v>1882435.8</v>
      </c>
      <c r="O116" s="2">
        <f t="shared" si="38"/>
        <v>1918227.3900000001</v>
      </c>
      <c r="P116" s="2">
        <f t="shared" si="38"/>
        <v>1882435.8</v>
      </c>
      <c r="Q116" s="2">
        <f t="shared" si="38"/>
        <v>1914435.79</v>
      </c>
      <c r="R116" s="2">
        <f t="shared" si="38"/>
        <v>1882435.8</v>
      </c>
      <c r="S116" s="2">
        <f t="shared" si="38"/>
        <v>1914497.09</v>
      </c>
      <c r="T116" s="2">
        <f t="shared" si="38"/>
        <v>1882435.8</v>
      </c>
      <c r="U116" s="2">
        <f t="shared" si="38"/>
        <v>1917459.72</v>
      </c>
      <c r="V116" s="2">
        <f t="shared" si="38"/>
        <v>1882435.8</v>
      </c>
      <c r="W116" s="2">
        <f t="shared" si="38"/>
        <v>1904985.28</v>
      </c>
      <c r="X116" s="2">
        <f t="shared" si="38"/>
        <v>1882435.8</v>
      </c>
      <c r="Y116" s="2">
        <f t="shared" si="38"/>
        <v>30983920.480000004</v>
      </c>
      <c r="Z116" s="2">
        <f t="shared" si="38"/>
        <v>30913688.039999999</v>
      </c>
      <c r="AA116" s="16">
        <f t="shared" si="32"/>
        <v>4406576.5</v>
      </c>
      <c r="AB116" s="16">
        <f t="shared" si="32"/>
        <v>2369961.35</v>
      </c>
      <c r="AC116" s="16">
        <f t="shared" si="32"/>
        <v>40352793.869999997</v>
      </c>
      <c r="AD116" s="16">
        <f t="shared" si="32"/>
        <v>38134374.859999999</v>
      </c>
      <c r="AE116" s="16">
        <f t="shared" si="33"/>
        <v>7870302.5999999996</v>
      </c>
      <c r="AF116" s="16">
        <f t="shared" si="33"/>
        <v>2860480.3600000003</v>
      </c>
      <c r="AG116" s="16">
        <f t="shared" si="33"/>
        <v>5005157.24</v>
      </c>
      <c r="AH116" s="16">
        <f t="shared" si="33"/>
        <v>0</v>
      </c>
      <c r="AI116" s="16">
        <f t="shared" si="34"/>
        <v>8026868.0799999991</v>
      </c>
      <c r="AJ116" s="16">
        <f t="shared" si="34"/>
        <v>847221.52</v>
      </c>
      <c r="AK116" s="16">
        <f t="shared" si="34"/>
        <v>0</v>
      </c>
      <c r="AL116" s="16">
        <f t="shared" si="34"/>
        <v>0</v>
      </c>
      <c r="AM116" s="16">
        <f>AM14+AM26+AM32+AM38+AM50+AM57+AM64+AM71+AM78+AM85+AM99+AM106+AM20+AM44</f>
        <v>1324931.1499999999</v>
      </c>
      <c r="AN116" s="16">
        <f>AN14+AN26+AN32+AN38+AN50+AN57+AN64+AN71+AN78+AN85+AN99+AN106+AN20+AN44</f>
        <v>1128483.68</v>
      </c>
      <c r="AO116" s="16">
        <f t="shared" si="35"/>
        <v>0</v>
      </c>
      <c r="AP116" s="16">
        <f t="shared" si="35"/>
        <v>0</v>
      </c>
      <c r="AQ116" s="23">
        <f>AQ14+AQ26+AQ32+AQ38+AQ50+AQ57+AQ64+AQ71+AQ78+AQ85+AQ99+AQ106+AQ20+AQ44</f>
        <v>8660735.6100000013</v>
      </c>
      <c r="AR116" s="23">
        <f>AR14+AR26+AR32+AR38+AR50+AR57+AR64+AR71+AR78+AR85+AR99+AR106+AR20+AR44</f>
        <v>8587399.6100000013</v>
      </c>
      <c r="AS116" s="23">
        <f t="shared" si="36"/>
        <v>0</v>
      </c>
      <c r="AT116" s="23">
        <f t="shared" si="36"/>
        <v>0</v>
      </c>
      <c r="AU116" s="58"/>
      <c r="AV116" s="58"/>
      <c r="AW116" s="44"/>
    </row>
    <row r="117" spans="1:49">
      <c r="A117" s="157" t="s">
        <v>17</v>
      </c>
      <c r="B117" s="156"/>
      <c r="C117" s="3">
        <v>19700824</v>
      </c>
      <c r="D117" s="3"/>
      <c r="E117" s="3">
        <v>30646350</v>
      </c>
      <c r="F117" s="3"/>
      <c r="G117" s="3">
        <v>30646350</v>
      </c>
      <c r="H117" s="3"/>
      <c r="I117" s="3">
        <v>30646350</v>
      </c>
      <c r="J117" s="3"/>
      <c r="K117" s="3">
        <v>30646350</v>
      </c>
      <c r="L117" s="3"/>
      <c r="M117" s="3">
        <v>30646350</v>
      </c>
      <c r="N117" s="3"/>
      <c r="O117" s="3">
        <v>30646350</v>
      </c>
      <c r="P117" s="3"/>
      <c r="Q117" s="3">
        <v>30646350</v>
      </c>
      <c r="R117" s="3"/>
      <c r="S117" s="3">
        <v>39646350</v>
      </c>
      <c r="T117" s="3"/>
      <c r="U117" s="3">
        <v>39646350</v>
      </c>
      <c r="V117" s="3"/>
      <c r="W117" s="3">
        <v>39646350</v>
      </c>
      <c r="X117" s="3"/>
      <c r="Y117" s="3">
        <v>39592849</v>
      </c>
      <c r="Z117" s="3"/>
      <c r="AA117" s="22">
        <v>43884741</v>
      </c>
      <c r="AB117" s="18"/>
      <c r="AC117" s="22">
        <v>38729175</v>
      </c>
      <c r="AD117" s="18"/>
      <c r="AE117" s="22">
        <v>1250000</v>
      </c>
      <c r="AF117" s="22"/>
      <c r="AG117" s="22"/>
      <c r="AH117" s="22"/>
      <c r="AI117" s="22">
        <v>0</v>
      </c>
      <c r="AJ117" s="22"/>
      <c r="AK117" s="22"/>
      <c r="AL117" s="22"/>
      <c r="AM117" s="22">
        <v>20316355.16</v>
      </c>
      <c r="AN117" s="22"/>
      <c r="AO117" s="22"/>
      <c r="AP117" s="22"/>
      <c r="AQ117" s="3">
        <v>14800000</v>
      </c>
      <c r="AR117" s="3"/>
      <c r="AS117" s="3"/>
      <c r="AT117" s="3"/>
      <c r="AU117" s="58"/>
      <c r="AV117" s="58"/>
      <c r="AW117" s="44"/>
    </row>
    <row r="118" spans="1:49">
      <c r="A118" s="157" t="s">
        <v>18</v>
      </c>
      <c r="B118" s="156"/>
      <c r="C118" s="3">
        <f t="shared" ref="C118:AA118" si="39">C111+C117</f>
        <v>114288501.81999999</v>
      </c>
      <c r="D118" s="3">
        <f t="shared" si="39"/>
        <v>68008770.719999999</v>
      </c>
      <c r="E118" s="3">
        <f t="shared" si="39"/>
        <v>116511079.75999999</v>
      </c>
      <c r="F118" s="3">
        <f t="shared" si="39"/>
        <v>66510808.209999993</v>
      </c>
      <c r="G118" s="3">
        <f t="shared" si="39"/>
        <v>124157416.09000002</v>
      </c>
      <c r="H118" s="3">
        <f t="shared" si="39"/>
        <v>66963948.660000004</v>
      </c>
      <c r="I118" s="3">
        <f t="shared" si="39"/>
        <v>123086498.88000001</v>
      </c>
      <c r="J118" s="3">
        <f t="shared" si="39"/>
        <v>69371696.100000009</v>
      </c>
      <c r="K118" s="3">
        <f t="shared" si="39"/>
        <v>124338367.95999999</v>
      </c>
      <c r="L118" s="3">
        <f t="shared" si="39"/>
        <v>72494645.030000001</v>
      </c>
      <c r="M118" s="3">
        <f t="shared" si="39"/>
        <v>125996638.34</v>
      </c>
      <c r="N118" s="3">
        <f t="shared" si="39"/>
        <v>74699098.340000004</v>
      </c>
      <c r="O118" s="3">
        <f t="shared" si="39"/>
        <v>123599288.27</v>
      </c>
      <c r="P118" s="3">
        <f t="shared" si="39"/>
        <v>82357876.220000014</v>
      </c>
      <c r="Q118" s="3">
        <f t="shared" si="39"/>
        <v>128095881.20999998</v>
      </c>
      <c r="R118" s="3">
        <f t="shared" si="39"/>
        <v>74441297.569999993</v>
      </c>
      <c r="S118" s="3">
        <f t="shared" si="39"/>
        <v>136401625.49000001</v>
      </c>
      <c r="T118" s="3">
        <f t="shared" si="39"/>
        <v>74719949.890000001</v>
      </c>
      <c r="U118" s="3">
        <f t="shared" si="39"/>
        <v>136999081.71999997</v>
      </c>
      <c r="V118" s="3">
        <f t="shared" si="39"/>
        <v>74918061.669999987</v>
      </c>
      <c r="W118" s="3">
        <f t="shared" si="39"/>
        <v>143078032.53</v>
      </c>
      <c r="X118" s="3">
        <f t="shared" si="39"/>
        <v>71550048.36999999</v>
      </c>
      <c r="Y118" s="3">
        <f t="shared" si="39"/>
        <v>179105676.16999999</v>
      </c>
      <c r="Z118" s="3">
        <f t="shared" si="39"/>
        <v>116277638.82999998</v>
      </c>
      <c r="AA118" s="22">
        <f t="shared" si="39"/>
        <v>180677679.08000001</v>
      </c>
      <c r="AB118" s="22">
        <f>AB111+AB117</f>
        <v>43344897.469999999</v>
      </c>
      <c r="AC118" s="22">
        <f t="shared" ref="AC118:AT118" si="40">AC111+AC117</f>
        <v>249815793.58000001</v>
      </c>
      <c r="AD118" s="22">
        <f t="shared" si="40"/>
        <v>119975047.31999999</v>
      </c>
      <c r="AE118" s="22">
        <f t="shared" si="40"/>
        <v>130196217.90000001</v>
      </c>
      <c r="AF118" s="22">
        <f t="shared" si="40"/>
        <v>32163242.649999999</v>
      </c>
      <c r="AG118" s="22">
        <f t="shared" si="40"/>
        <v>14429840.109999999</v>
      </c>
      <c r="AH118" s="22">
        <f t="shared" si="40"/>
        <v>0</v>
      </c>
      <c r="AI118" s="22">
        <f t="shared" si="40"/>
        <v>110206071.34</v>
      </c>
      <c r="AJ118" s="22">
        <f t="shared" si="40"/>
        <v>26197666.589999996</v>
      </c>
      <c r="AK118" s="22">
        <f t="shared" si="40"/>
        <v>952355</v>
      </c>
      <c r="AL118" s="22">
        <f t="shared" si="40"/>
        <v>571235</v>
      </c>
      <c r="AM118" s="22">
        <f t="shared" si="40"/>
        <v>101092901.7</v>
      </c>
      <c r="AN118" s="22">
        <f t="shared" si="40"/>
        <v>35099528.390000001</v>
      </c>
      <c r="AO118" s="22">
        <f t="shared" si="40"/>
        <v>0</v>
      </c>
      <c r="AP118" s="22">
        <f t="shared" si="40"/>
        <v>0</v>
      </c>
      <c r="AQ118" s="3">
        <f t="shared" si="40"/>
        <v>117468392.44</v>
      </c>
      <c r="AR118" s="3">
        <f t="shared" si="40"/>
        <v>57215363.340000004</v>
      </c>
      <c r="AS118" s="3">
        <f t="shared" si="40"/>
        <v>7551208.0300000003</v>
      </c>
      <c r="AT118" s="3">
        <f t="shared" si="40"/>
        <v>7551208.0300000003</v>
      </c>
      <c r="AU118" s="58">
        <f>AQ118/AM118-1</f>
        <v>0.16198457522364307</v>
      </c>
      <c r="AV118" s="58" t="e">
        <f>AS118/AO118-1</f>
        <v>#DIV/0!</v>
      </c>
      <c r="AW118" s="44"/>
    </row>
    <row r="119" spans="1:49">
      <c r="A119" s="127" t="s">
        <v>19</v>
      </c>
      <c r="B119" s="156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15"/>
      <c r="AB119" s="15"/>
      <c r="AC119" s="15"/>
      <c r="AD119" s="15"/>
      <c r="AE119" s="15"/>
      <c r="AF119" s="15"/>
      <c r="AG119" s="15"/>
      <c r="AH119" s="15"/>
      <c r="AI119" s="21"/>
      <c r="AJ119" s="21"/>
      <c r="AK119" s="21"/>
      <c r="AL119" s="21"/>
      <c r="AM119" s="21"/>
      <c r="AN119" s="21"/>
      <c r="AO119" s="21"/>
      <c r="AP119" s="21"/>
      <c r="AQ119" s="92"/>
      <c r="AR119" s="92"/>
      <c r="AS119" s="92"/>
      <c r="AT119" s="92"/>
      <c r="AU119" s="92"/>
      <c r="AV119" s="92"/>
    </row>
    <row r="120" spans="1:49">
      <c r="A120" s="127" t="s">
        <v>24</v>
      </c>
      <c r="B120" s="156"/>
      <c r="C120" s="4">
        <v>102575991</v>
      </c>
      <c r="D120" s="4">
        <v>63430848.460000001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92"/>
      <c r="AR120" s="92"/>
      <c r="AS120" s="92"/>
      <c r="AT120" s="92"/>
      <c r="AU120" s="92"/>
      <c r="AV120" s="92"/>
    </row>
    <row r="121" spans="1:49">
      <c r="A121" s="127" t="s">
        <v>23</v>
      </c>
      <c r="B121" s="156"/>
      <c r="C121" s="4">
        <f>C118-C120</f>
        <v>11712510.819999993</v>
      </c>
      <c r="D121" s="4">
        <f>D118-D120</f>
        <v>4577922.2599999979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92"/>
      <c r="AR121" s="92"/>
      <c r="AS121" s="92"/>
      <c r="AT121" s="92"/>
      <c r="AU121" s="92"/>
      <c r="AV121" s="92"/>
    </row>
    <row r="122" spans="1:49">
      <c r="A122" s="127" t="s">
        <v>37</v>
      </c>
      <c r="B122" s="156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21">
        <v>2369961.35</v>
      </c>
      <c r="AB122" s="21">
        <v>2369961.35</v>
      </c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92"/>
      <c r="AR122" s="92"/>
      <c r="AS122" s="92"/>
      <c r="AT122" s="92"/>
      <c r="AU122" s="92"/>
      <c r="AV122" s="92"/>
    </row>
    <row r="123" spans="1:49"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</row>
    <row r="124" spans="1:49"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</row>
    <row r="125" spans="1:49"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</row>
    <row r="126" spans="1:49"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</row>
    <row r="127" spans="1:49"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</row>
    <row r="128" spans="1:49"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</row>
    <row r="129" spans="35:48"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</row>
    <row r="130" spans="35:48"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</row>
    <row r="131" spans="35:48"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</row>
    <row r="132" spans="35:48"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</row>
  </sheetData>
  <mergeCells count="517">
    <mergeCell ref="A118:B118"/>
    <mergeCell ref="A119:B119"/>
    <mergeCell ref="A120:B120"/>
    <mergeCell ref="A121:B121"/>
    <mergeCell ref="A122:B122"/>
    <mergeCell ref="A112:B112"/>
    <mergeCell ref="A113:B113"/>
    <mergeCell ref="A114:B114"/>
    <mergeCell ref="A115:B115"/>
    <mergeCell ref="A116:B116"/>
    <mergeCell ref="A117:B117"/>
    <mergeCell ref="A106:B106"/>
    <mergeCell ref="AU107:AU108"/>
    <mergeCell ref="AV107:AV108"/>
    <mergeCell ref="A108:B108"/>
    <mergeCell ref="A109:B109"/>
    <mergeCell ref="A111:B111"/>
    <mergeCell ref="AU100:AU101"/>
    <mergeCell ref="AV100:AV101"/>
    <mergeCell ref="A102:B102"/>
    <mergeCell ref="A103:B103"/>
    <mergeCell ref="A104:B104"/>
    <mergeCell ref="A105:B105"/>
    <mergeCell ref="AO100:AO101"/>
    <mergeCell ref="AP100:AP101"/>
    <mergeCell ref="AQ100:AQ101"/>
    <mergeCell ref="AR100:AR101"/>
    <mergeCell ref="AS100:AS101"/>
    <mergeCell ref="AT100:AT101"/>
    <mergeCell ref="AI100:AI101"/>
    <mergeCell ref="AJ100:AJ101"/>
    <mergeCell ref="AK100:AK101"/>
    <mergeCell ref="AL100:AL101"/>
    <mergeCell ref="AM100:AM101"/>
    <mergeCell ref="AN100:AN101"/>
    <mergeCell ref="AC100:AC101"/>
    <mergeCell ref="AD100:AD101"/>
    <mergeCell ref="AE100:AE101"/>
    <mergeCell ref="AF100:AF101"/>
    <mergeCell ref="AG100:AG101"/>
    <mergeCell ref="AH100:AH101"/>
    <mergeCell ref="W100:W101"/>
    <mergeCell ref="X100:X101"/>
    <mergeCell ref="Y100:Y101"/>
    <mergeCell ref="Z100:Z101"/>
    <mergeCell ref="AA100:AA101"/>
    <mergeCell ref="AB100:AB101"/>
    <mergeCell ref="Q100:Q101"/>
    <mergeCell ref="R100:R101"/>
    <mergeCell ref="S100:S101"/>
    <mergeCell ref="T100:T101"/>
    <mergeCell ref="U100:U101"/>
    <mergeCell ref="V100:V101"/>
    <mergeCell ref="K100:K101"/>
    <mergeCell ref="L100:L101"/>
    <mergeCell ref="M100:M101"/>
    <mergeCell ref="N100:N101"/>
    <mergeCell ref="O100:O101"/>
    <mergeCell ref="P100:P101"/>
    <mergeCell ref="E100:E101"/>
    <mergeCell ref="F100:F101"/>
    <mergeCell ref="G100:G101"/>
    <mergeCell ref="H100:H101"/>
    <mergeCell ref="I100:I101"/>
    <mergeCell ref="J100:J101"/>
    <mergeCell ref="A97:B97"/>
    <mergeCell ref="A98:B98"/>
    <mergeCell ref="A99:B99"/>
    <mergeCell ref="A100:B101"/>
    <mergeCell ref="C100:C101"/>
    <mergeCell ref="D100:D101"/>
    <mergeCell ref="AO93:AO94"/>
    <mergeCell ref="AP93:AP94"/>
    <mergeCell ref="AU93:AU94"/>
    <mergeCell ref="AV93:AV94"/>
    <mergeCell ref="A95:B95"/>
    <mergeCell ref="A96:B96"/>
    <mergeCell ref="AI93:AI94"/>
    <mergeCell ref="AJ93:AJ94"/>
    <mergeCell ref="AK93:AK94"/>
    <mergeCell ref="AL93:AL94"/>
    <mergeCell ref="AM93:AM94"/>
    <mergeCell ref="AN93:AN94"/>
    <mergeCell ref="AC93:AC94"/>
    <mergeCell ref="AD93:AD94"/>
    <mergeCell ref="AE93:AE94"/>
    <mergeCell ref="AF93:AF94"/>
    <mergeCell ref="AG93:AG94"/>
    <mergeCell ref="AH93:AH94"/>
    <mergeCell ref="W93:W94"/>
    <mergeCell ref="X93:X94"/>
    <mergeCell ref="Y93:Y94"/>
    <mergeCell ref="Z93:Z94"/>
    <mergeCell ref="AA93:AA94"/>
    <mergeCell ref="AB93:AB94"/>
    <mergeCell ref="Q93:Q94"/>
    <mergeCell ref="R93:R94"/>
    <mergeCell ref="S93:S94"/>
    <mergeCell ref="T93:T94"/>
    <mergeCell ref="U93:U94"/>
    <mergeCell ref="V93:V94"/>
    <mergeCell ref="K93:K94"/>
    <mergeCell ref="L93:L94"/>
    <mergeCell ref="M93:M94"/>
    <mergeCell ref="N93:N94"/>
    <mergeCell ref="O93:O94"/>
    <mergeCell ref="P93:P94"/>
    <mergeCell ref="E93:E94"/>
    <mergeCell ref="F93:F94"/>
    <mergeCell ref="G93:G94"/>
    <mergeCell ref="H93:H94"/>
    <mergeCell ref="I93:I94"/>
    <mergeCell ref="J93:J94"/>
    <mergeCell ref="A90:B90"/>
    <mergeCell ref="A91:B91"/>
    <mergeCell ref="A92:B92"/>
    <mergeCell ref="A93:B94"/>
    <mergeCell ref="C93:C94"/>
    <mergeCell ref="D93:D94"/>
    <mergeCell ref="Y86:Y87"/>
    <mergeCell ref="Z86:Z87"/>
    <mergeCell ref="AU86:AU87"/>
    <mergeCell ref="AV86:AV87"/>
    <mergeCell ref="A88:B88"/>
    <mergeCell ref="A89:B89"/>
    <mergeCell ref="S86:S87"/>
    <mergeCell ref="T86:T87"/>
    <mergeCell ref="U86:U87"/>
    <mergeCell ref="V86:V87"/>
    <mergeCell ref="W86:W87"/>
    <mergeCell ref="X86:X87"/>
    <mergeCell ref="M86:M87"/>
    <mergeCell ref="N86:N87"/>
    <mergeCell ref="O86:O87"/>
    <mergeCell ref="P86:P87"/>
    <mergeCell ref="Q86:Q87"/>
    <mergeCell ref="R86:R87"/>
    <mergeCell ref="G86:G87"/>
    <mergeCell ref="H86:H87"/>
    <mergeCell ref="I86:I87"/>
    <mergeCell ref="J86:J87"/>
    <mergeCell ref="K86:K87"/>
    <mergeCell ref="L86:L87"/>
    <mergeCell ref="A85:B85"/>
    <mergeCell ref="A86:B87"/>
    <mergeCell ref="C86:C87"/>
    <mergeCell ref="D86:D87"/>
    <mergeCell ref="E86:E87"/>
    <mergeCell ref="F86:F87"/>
    <mergeCell ref="AU79:AU80"/>
    <mergeCell ref="AV79:AV80"/>
    <mergeCell ref="A81:B81"/>
    <mergeCell ref="A82:B82"/>
    <mergeCell ref="A83:B83"/>
    <mergeCell ref="A84:B84"/>
    <mergeCell ref="AO79:AO80"/>
    <mergeCell ref="AP79:AP80"/>
    <mergeCell ref="AQ79:AQ80"/>
    <mergeCell ref="AR79:AR80"/>
    <mergeCell ref="AS79:AS80"/>
    <mergeCell ref="AT79:AT80"/>
    <mergeCell ref="AI79:AI80"/>
    <mergeCell ref="AJ79:AJ80"/>
    <mergeCell ref="AK79:AK80"/>
    <mergeCell ref="AL79:AL80"/>
    <mergeCell ref="AM79:AM80"/>
    <mergeCell ref="AN79:AN80"/>
    <mergeCell ref="AC79:AC80"/>
    <mergeCell ref="AD79:AD80"/>
    <mergeCell ref="AE79:AE80"/>
    <mergeCell ref="AF79:AF80"/>
    <mergeCell ref="AG79:AG80"/>
    <mergeCell ref="AH79:AH80"/>
    <mergeCell ref="W79:W80"/>
    <mergeCell ref="X79:X80"/>
    <mergeCell ref="Y79:Y80"/>
    <mergeCell ref="Z79:Z80"/>
    <mergeCell ref="AA79:AA80"/>
    <mergeCell ref="AB79:AB80"/>
    <mergeCell ref="Q79:Q80"/>
    <mergeCell ref="R79:R80"/>
    <mergeCell ref="S79:S80"/>
    <mergeCell ref="T79:T80"/>
    <mergeCell ref="U79:U80"/>
    <mergeCell ref="V79:V80"/>
    <mergeCell ref="K79:K80"/>
    <mergeCell ref="L79:L80"/>
    <mergeCell ref="M79:M80"/>
    <mergeCell ref="N79:N80"/>
    <mergeCell ref="O79:O80"/>
    <mergeCell ref="P79:P80"/>
    <mergeCell ref="E79:E80"/>
    <mergeCell ref="F79:F80"/>
    <mergeCell ref="G79:G80"/>
    <mergeCell ref="H79:H80"/>
    <mergeCell ref="I79:I80"/>
    <mergeCell ref="J79:J80"/>
    <mergeCell ref="A76:B76"/>
    <mergeCell ref="A77:B77"/>
    <mergeCell ref="A78:B78"/>
    <mergeCell ref="A79:B80"/>
    <mergeCell ref="C79:C80"/>
    <mergeCell ref="D79:D80"/>
    <mergeCell ref="AS72:AS73"/>
    <mergeCell ref="AT72:AT73"/>
    <mergeCell ref="AU72:AU73"/>
    <mergeCell ref="AV72:AV73"/>
    <mergeCell ref="A74:B74"/>
    <mergeCell ref="A75:B75"/>
    <mergeCell ref="AM72:AM73"/>
    <mergeCell ref="AN72:AN73"/>
    <mergeCell ref="AO72:AO73"/>
    <mergeCell ref="AP72:AP73"/>
    <mergeCell ref="AQ72:AQ73"/>
    <mergeCell ref="AR72:AR73"/>
    <mergeCell ref="AG72:AG73"/>
    <mergeCell ref="AH72:AH73"/>
    <mergeCell ref="AI72:AI73"/>
    <mergeCell ref="AJ72:AJ73"/>
    <mergeCell ref="AK72:AK73"/>
    <mergeCell ref="AL72:AL73"/>
    <mergeCell ref="AA72:AA73"/>
    <mergeCell ref="AB72:AB73"/>
    <mergeCell ref="AC72:AC73"/>
    <mergeCell ref="AD72:AD73"/>
    <mergeCell ref="AE72:AE73"/>
    <mergeCell ref="AF72:AF73"/>
    <mergeCell ref="U72:U73"/>
    <mergeCell ref="V72:V73"/>
    <mergeCell ref="W72:W73"/>
    <mergeCell ref="X72:X73"/>
    <mergeCell ref="Y72:Y73"/>
    <mergeCell ref="Z72:Z73"/>
    <mergeCell ref="O72:O73"/>
    <mergeCell ref="P72:P73"/>
    <mergeCell ref="Q72:Q73"/>
    <mergeCell ref="R72:R73"/>
    <mergeCell ref="S72:S73"/>
    <mergeCell ref="T72:T73"/>
    <mergeCell ref="I72:I73"/>
    <mergeCell ref="J72:J73"/>
    <mergeCell ref="K72:K73"/>
    <mergeCell ref="L72:L73"/>
    <mergeCell ref="M72:M73"/>
    <mergeCell ref="N72:N73"/>
    <mergeCell ref="C72:C73"/>
    <mergeCell ref="D72:D73"/>
    <mergeCell ref="E72:E73"/>
    <mergeCell ref="F72:F73"/>
    <mergeCell ref="G72:G73"/>
    <mergeCell ref="H72:H73"/>
    <mergeCell ref="A67:B67"/>
    <mergeCell ref="A68:B68"/>
    <mergeCell ref="A69:B69"/>
    <mergeCell ref="A70:B70"/>
    <mergeCell ref="A71:B71"/>
    <mergeCell ref="A72:B73"/>
    <mergeCell ref="AQ65:AQ66"/>
    <mergeCell ref="AR65:AR66"/>
    <mergeCell ref="AS65:AS66"/>
    <mergeCell ref="AT65:AT66"/>
    <mergeCell ref="AU65:AU66"/>
    <mergeCell ref="AV65:AV66"/>
    <mergeCell ref="AK65:AK66"/>
    <mergeCell ref="AL65:AL66"/>
    <mergeCell ref="AM65:AM66"/>
    <mergeCell ref="AN65:AN66"/>
    <mergeCell ref="AO65:AO66"/>
    <mergeCell ref="AP65:AP66"/>
    <mergeCell ref="AE65:AE66"/>
    <mergeCell ref="AF65:AF66"/>
    <mergeCell ref="AG65:AG66"/>
    <mergeCell ref="AH65:AH66"/>
    <mergeCell ref="AI65:AI66"/>
    <mergeCell ref="AJ65:AJ66"/>
    <mergeCell ref="Y65:Y66"/>
    <mergeCell ref="Z65:Z66"/>
    <mergeCell ref="AA65:AA66"/>
    <mergeCell ref="AB65:AB66"/>
    <mergeCell ref="AC65:AC66"/>
    <mergeCell ref="AD65:AD66"/>
    <mergeCell ref="S65:S66"/>
    <mergeCell ref="T65:T66"/>
    <mergeCell ref="U65:U66"/>
    <mergeCell ref="V65:V66"/>
    <mergeCell ref="W65:W66"/>
    <mergeCell ref="X65:X66"/>
    <mergeCell ref="M65:M66"/>
    <mergeCell ref="N65:N66"/>
    <mergeCell ref="O65:O66"/>
    <mergeCell ref="P65:P66"/>
    <mergeCell ref="Q65:Q66"/>
    <mergeCell ref="R65:R66"/>
    <mergeCell ref="G65:G66"/>
    <mergeCell ref="H65:H66"/>
    <mergeCell ref="I65:I66"/>
    <mergeCell ref="J65:J66"/>
    <mergeCell ref="K65:K66"/>
    <mergeCell ref="L65:L66"/>
    <mergeCell ref="A64:B64"/>
    <mergeCell ref="A65:B66"/>
    <mergeCell ref="C65:C66"/>
    <mergeCell ref="D65:D66"/>
    <mergeCell ref="E65:E66"/>
    <mergeCell ref="F65:F66"/>
    <mergeCell ref="AU58:AU59"/>
    <mergeCell ref="AV58:AV59"/>
    <mergeCell ref="A60:B60"/>
    <mergeCell ref="A61:B61"/>
    <mergeCell ref="A62:B62"/>
    <mergeCell ref="A63:B63"/>
    <mergeCell ref="AO58:AO59"/>
    <mergeCell ref="AP58:AP59"/>
    <mergeCell ref="AQ58:AQ59"/>
    <mergeCell ref="AR58:AR59"/>
    <mergeCell ref="AS58:AS59"/>
    <mergeCell ref="AT58:AT59"/>
    <mergeCell ref="AI58:AI59"/>
    <mergeCell ref="AJ58:AJ59"/>
    <mergeCell ref="AK58:AK59"/>
    <mergeCell ref="AL58:AL59"/>
    <mergeCell ref="AM58:AM59"/>
    <mergeCell ref="AN58:AN59"/>
    <mergeCell ref="AC58:AC59"/>
    <mergeCell ref="AD58:AD59"/>
    <mergeCell ref="AE58:AE59"/>
    <mergeCell ref="AF58:AF59"/>
    <mergeCell ref="AG58:AG59"/>
    <mergeCell ref="AH58:AH59"/>
    <mergeCell ref="W58:W59"/>
    <mergeCell ref="X58:X59"/>
    <mergeCell ref="Y58:Y59"/>
    <mergeCell ref="Z58:Z59"/>
    <mergeCell ref="AA58:AA59"/>
    <mergeCell ref="AB58:AB59"/>
    <mergeCell ref="Q58:Q59"/>
    <mergeCell ref="R58:R59"/>
    <mergeCell ref="S58:S59"/>
    <mergeCell ref="T58:T59"/>
    <mergeCell ref="U58:U59"/>
    <mergeCell ref="V58:V59"/>
    <mergeCell ref="K58:K59"/>
    <mergeCell ref="L58:L59"/>
    <mergeCell ref="M58:M59"/>
    <mergeCell ref="N58:N59"/>
    <mergeCell ref="O58:O59"/>
    <mergeCell ref="P58:P59"/>
    <mergeCell ref="E58:E59"/>
    <mergeCell ref="F58:F59"/>
    <mergeCell ref="G58:G59"/>
    <mergeCell ref="H58:H59"/>
    <mergeCell ref="I58:I59"/>
    <mergeCell ref="J58:J59"/>
    <mergeCell ref="A55:B55"/>
    <mergeCell ref="A56:B56"/>
    <mergeCell ref="A57:B57"/>
    <mergeCell ref="A58:B59"/>
    <mergeCell ref="C58:C59"/>
    <mergeCell ref="D58:D59"/>
    <mergeCell ref="AS51:AS52"/>
    <mergeCell ref="AT51:AT52"/>
    <mergeCell ref="AU51:AU52"/>
    <mergeCell ref="AV51:AV52"/>
    <mergeCell ref="A53:B53"/>
    <mergeCell ref="A54:B54"/>
    <mergeCell ref="AM51:AM52"/>
    <mergeCell ref="AN51:AN52"/>
    <mergeCell ref="AO51:AO52"/>
    <mergeCell ref="AP51:AP52"/>
    <mergeCell ref="AQ51:AQ52"/>
    <mergeCell ref="AR51:AR52"/>
    <mergeCell ref="AG51:AG52"/>
    <mergeCell ref="AH51:AH52"/>
    <mergeCell ref="AI51:AI52"/>
    <mergeCell ref="AJ51:AJ52"/>
    <mergeCell ref="AK51:AK52"/>
    <mergeCell ref="AL51:AL52"/>
    <mergeCell ref="AA51:AA52"/>
    <mergeCell ref="AB51:AB52"/>
    <mergeCell ref="AC51:AC52"/>
    <mergeCell ref="AD51:AD52"/>
    <mergeCell ref="AE51:AE52"/>
    <mergeCell ref="AF51:AF52"/>
    <mergeCell ref="U51:U52"/>
    <mergeCell ref="V51:V52"/>
    <mergeCell ref="W51:W52"/>
    <mergeCell ref="X51:X52"/>
    <mergeCell ref="Y51:Y52"/>
    <mergeCell ref="Z51:Z52"/>
    <mergeCell ref="O51:O52"/>
    <mergeCell ref="P51:P52"/>
    <mergeCell ref="Q51:Q52"/>
    <mergeCell ref="R51:R52"/>
    <mergeCell ref="S51:S52"/>
    <mergeCell ref="T51:T52"/>
    <mergeCell ref="I51:I52"/>
    <mergeCell ref="J51:J52"/>
    <mergeCell ref="K51:K52"/>
    <mergeCell ref="L51:L52"/>
    <mergeCell ref="M51:M52"/>
    <mergeCell ref="N51:N52"/>
    <mergeCell ref="C51:C52"/>
    <mergeCell ref="D51:D52"/>
    <mergeCell ref="E51:E52"/>
    <mergeCell ref="F51:F52"/>
    <mergeCell ref="G51:G52"/>
    <mergeCell ref="H51:H52"/>
    <mergeCell ref="A46:B46"/>
    <mergeCell ref="A47:B47"/>
    <mergeCell ref="A48:B48"/>
    <mergeCell ref="A49:B49"/>
    <mergeCell ref="A50:B50"/>
    <mergeCell ref="A51:B52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Q8:AQ9"/>
    <mergeCell ref="AR8:AR9"/>
    <mergeCell ref="AS8:AS9"/>
    <mergeCell ref="AT8:AT9"/>
    <mergeCell ref="AU8:AU9"/>
    <mergeCell ref="AV8:AV9"/>
    <mergeCell ref="AK8:AK9"/>
    <mergeCell ref="AL8:AL9"/>
    <mergeCell ref="AM8:AM9"/>
    <mergeCell ref="AN8:AN9"/>
    <mergeCell ref="AO8:AO9"/>
    <mergeCell ref="AP8:AP9"/>
    <mergeCell ref="AE8:AE9"/>
    <mergeCell ref="AF8:AF9"/>
    <mergeCell ref="AG8:AG9"/>
    <mergeCell ref="AH8:AH9"/>
    <mergeCell ref="AI8:AI9"/>
    <mergeCell ref="AJ8:AJ9"/>
    <mergeCell ref="Y8:Y9"/>
    <mergeCell ref="Z8:Z9"/>
    <mergeCell ref="AA8:AA9"/>
    <mergeCell ref="AB8:AB9"/>
    <mergeCell ref="AC8:AC9"/>
    <mergeCell ref="AD8:AD9"/>
    <mergeCell ref="S8:S9"/>
    <mergeCell ref="T8:T9"/>
    <mergeCell ref="U8:U9"/>
    <mergeCell ref="V8:V9"/>
    <mergeCell ref="W8:W9"/>
    <mergeCell ref="X8:X9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E5:AH6"/>
    <mergeCell ref="AI5:AL6"/>
    <mergeCell ref="AM5:AP6"/>
    <mergeCell ref="AQ5:AT6"/>
    <mergeCell ref="AU5:AV6"/>
    <mergeCell ref="A8:B9"/>
    <mergeCell ref="C8:C9"/>
    <mergeCell ref="D8:D9"/>
    <mergeCell ref="E8:E9"/>
    <mergeCell ref="F8:F9"/>
    <mergeCell ref="S5:T6"/>
    <mergeCell ref="U5:V6"/>
    <mergeCell ref="W5:X6"/>
    <mergeCell ref="Y5:Z6"/>
    <mergeCell ref="AA5:AB6"/>
    <mergeCell ref="AC5:AD6"/>
    <mergeCell ref="B1:AU4"/>
    <mergeCell ref="A5:B7"/>
    <mergeCell ref="C5:D6"/>
    <mergeCell ref="E5:F6"/>
    <mergeCell ref="G5:H6"/>
    <mergeCell ref="I5:J6"/>
    <mergeCell ref="K5:L6"/>
    <mergeCell ref="M5:N6"/>
    <mergeCell ref="O5:P6"/>
    <mergeCell ref="Q5:R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2" sqref="B32"/>
    </sheetView>
  </sheetViews>
  <sheetFormatPr defaultRowHeight="14.4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132"/>
  <sheetViews>
    <sheetView topLeftCell="A58" zoomScale="70" zoomScaleNormal="70" workbookViewId="0">
      <selection activeCell="AR70" sqref="AR70"/>
    </sheetView>
  </sheetViews>
  <sheetFormatPr defaultRowHeight="14.4"/>
  <cols>
    <col min="2" max="2" width="12.5546875" customWidth="1"/>
    <col min="3" max="3" width="13.6640625" hidden="1" customWidth="1"/>
    <col min="4" max="4" width="12.6640625" hidden="1" customWidth="1"/>
    <col min="5" max="5" width="14" hidden="1" customWidth="1"/>
    <col min="6" max="6" width="12.33203125" hidden="1" customWidth="1"/>
    <col min="7" max="7" width="12.5546875" hidden="1" customWidth="1"/>
    <col min="8" max="8" width="12.6640625" hidden="1" customWidth="1"/>
    <col min="9" max="9" width="14.109375" hidden="1" customWidth="1"/>
    <col min="10" max="10" width="14" hidden="1" customWidth="1"/>
    <col min="11" max="11" width="12.6640625" hidden="1" customWidth="1"/>
    <col min="12" max="12" width="13.88671875" hidden="1" customWidth="1"/>
    <col min="13" max="13" width="15.109375" hidden="1" customWidth="1"/>
    <col min="14" max="14" width="13.6640625" hidden="1" customWidth="1"/>
    <col min="15" max="15" width="13.109375" hidden="1" customWidth="1"/>
    <col min="16" max="16" width="13.88671875" hidden="1" customWidth="1"/>
    <col min="17" max="17" width="14.33203125" hidden="1" customWidth="1"/>
    <col min="18" max="18" width="14.44140625" hidden="1" customWidth="1"/>
    <col min="19" max="19" width="15" hidden="1" customWidth="1"/>
    <col min="20" max="20" width="13.33203125" hidden="1" customWidth="1"/>
    <col min="21" max="21" width="16" hidden="1" customWidth="1"/>
    <col min="22" max="22" width="13.109375" hidden="1" customWidth="1"/>
    <col min="23" max="23" width="13.33203125" hidden="1" customWidth="1"/>
    <col min="24" max="24" width="14.109375" hidden="1" customWidth="1"/>
    <col min="25" max="25" width="14.33203125" hidden="1" customWidth="1"/>
    <col min="26" max="26" width="13.33203125" hidden="1" customWidth="1"/>
    <col min="27" max="27" width="13.44140625" hidden="1" customWidth="1"/>
    <col min="28" max="28" width="12.5546875" hidden="1" customWidth="1"/>
    <col min="29" max="29" width="13.33203125" hidden="1" customWidth="1"/>
    <col min="30" max="30" width="14" hidden="1" customWidth="1"/>
    <col min="31" max="31" width="15.77734375" customWidth="1"/>
    <col min="32" max="34" width="14" customWidth="1"/>
    <col min="35" max="35" width="16" customWidth="1"/>
    <col min="36" max="38" width="14" customWidth="1"/>
    <col min="39" max="39" width="16" customWidth="1"/>
    <col min="40" max="42" width="14" customWidth="1"/>
    <col min="43" max="43" width="15.77734375" customWidth="1"/>
    <col min="44" max="44" width="17.44140625" customWidth="1"/>
    <col min="45" max="46" width="14" customWidth="1"/>
    <col min="47" max="47" width="10.33203125" customWidth="1"/>
    <col min="48" max="48" width="9.44140625" customWidth="1"/>
  </cols>
  <sheetData>
    <row r="1" spans="1:52">
      <c r="B1" s="93" t="s">
        <v>20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</row>
    <row r="2" spans="1:52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</row>
    <row r="3" spans="1:52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</row>
    <row r="4" spans="1:52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</row>
    <row r="5" spans="1:52">
      <c r="A5" s="95" t="s">
        <v>0</v>
      </c>
      <c r="B5" s="96"/>
      <c r="C5" s="101" t="s">
        <v>25</v>
      </c>
      <c r="D5" s="102"/>
      <c r="E5" s="101" t="s">
        <v>26</v>
      </c>
      <c r="F5" s="102"/>
      <c r="G5" s="101" t="s">
        <v>27</v>
      </c>
      <c r="H5" s="102"/>
      <c r="I5" s="101" t="s">
        <v>28</v>
      </c>
      <c r="J5" s="102"/>
      <c r="K5" s="101" t="s">
        <v>29</v>
      </c>
      <c r="L5" s="102"/>
      <c r="M5" s="101" t="s">
        <v>30</v>
      </c>
      <c r="N5" s="102"/>
      <c r="O5" s="101" t="s">
        <v>31</v>
      </c>
      <c r="P5" s="102"/>
      <c r="Q5" s="101" t="s">
        <v>32</v>
      </c>
      <c r="R5" s="102"/>
      <c r="S5" s="101" t="s">
        <v>33</v>
      </c>
      <c r="T5" s="102"/>
      <c r="U5" s="101" t="s">
        <v>34</v>
      </c>
      <c r="V5" s="102"/>
      <c r="W5" s="101" t="s">
        <v>35</v>
      </c>
      <c r="X5" s="102"/>
      <c r="Y5" s="101" t="s">
        <v>36</v>
      </c>
      <c r="Z5" s="102"/>
      <c r="AA5" s="101" t="s">
        <v>38</v>
      </c>
      <c r="AB5" s="115"/>
      <c r="AC5" s="105">
        <v>42736</v>
      </c>
      <c r="AD5" s="115"/>
      <c r="AE5" s="118">
        <v>43466</v>
      </c>
      <c r="AF5" s="106"/>
      <c r="AG5" s="106"/>
      <c r="AH5" s="107"/>
      <c r="AI5" s="105">
        <v>43831</v>
      </c>
      <c r="AJ5" s="106"/>
      <c r="AK5" s="106"/>
      <c r="AL5" s="107"/>
      <c r="AM5" s="105">
        <v>44197</v>
      </c>
      <c r="AN5" s="106"/>
      <c r="AO5" s="106"/>
      <c r="AP5" s="107"/>
      <c r="AQ5" s="105">
        <v>44228</v>
      </c>
      <c r="AR5" s="106"/>
      <c r="AS5" s="106"/>
      <c r="AT5" s="107"/>
      <c r="AU5" s="111" t="s">
        <v>6</v>
      </c>
      <c r="AV5" s="112"/>
    </row>
    <row r="6" spans="1:52">
      <c r="A6" s="97"/>
      <c r="B6" s="98"/>
      <c r="C6" s="103"/>
      <c r="D6" s="104"/>
      <c r="E6" s="103"/>
      <c r="F6" s="104"/>
      <c r="G6" s="103"/>
      <c r="H6" s="104"/>
      <c r="I6" s="103"/>
      <c r="J6" s="104"/>
      <c r="K6" s="103"/>
      <c r="L6" s="104"/>
      <c r="M6" s="103"/>
      <c r="N6" s="104"/>
      <c r="O6" s="103"/>
      <c r="P6" s="104"/>
      <c r="Q6" s="103"/>
      <c r="R6" s="104"/>
      <c r="S6" s="103"/>
      <c r="T6" s="104"/>
      <c r="U6" s="103"/>
      <c r="V6" s="104"/>
      <c r="W6" s="103"/>
      <c r="X6" s="104"/>
      <c r="Y6" s="103"/>
      <c r="Z6" s="104"/>
      <c r="AA6" s="116"/>
      <c r="AB6" s="117"/>
      <c r="AC6" s="116"/>
      <c r="AD6" s="117"/>
      <c r="AE6" s="108"/>
      <c r="AF6" s="109"/>
      <c r="AG6" s="109"/>
      <c r="AH6" s="110"/>
      <c r="AI6" s="108"/>
      <c r="AJ6" s="109"/>
      <c r="AK6" s="109"/>
      <c r="AL6" s="110"/>
      <c r="AM6" s="108"/>
      <c r="AN6" s="109"/>
      <c r="AO6" s="109"/>
      <c r="AP6" s="110"/>
      <c r="AQ6" s="108"/>
      <c r="AR6" s="109"/>
      <c r="AS6" s="109"/>
      <c r="AT6" s="110"/>
      <c r="AU6" s="113"/>
      <c r="AV6" s="114"/>
    </row>
    <row r="7" spans="1:52" ht="43.2">
      <c r="A7" s="99"/>
      <c r="B7" s="100"/>
      <c r="C7" s="11" t="s">
        <v>5</v>
      </c>
      <c r="D7" s="11" t="s">
        <v>12</v>
      </c>
      <c r="E7" s="11" t="s">
        <v>5</v>
      </c>
      <c r="F7" s="11" t="s">
        <v>12</v>
      </c>
      <c r="G7" s="11" t="s">
        <v>5</v>
      </c>
      <c r="H7" s="11" t="s">
        <v>12</v>
      </c>
      <c r="I7" s="11" t="s">
        <v>5</v>
      </c>
      <c r="J7" s="11" t="s">
        <v>12</v>
      </c>
      <c r="K7" s="11" t="s">
        <v>5</v>
      </c>
      <c r="L7" s="11" t="s">
        <v>12</v>
      </c>
      <c r="M7" s="11" t="s">
        <v>5</v>
      </c>
      <c r="N7" s="11" t="s">
        <v>12</v>
      </c>
      <c r="O7" s="11" t="s">
        <v>5</v>
      </c>
      <c r="P7" s="11" t="s">
        <v>12</v>
      </c>
      <c r="Q7" s="11" t="s">
        <v>5</v>
      </c>
      <c r="R7" s="11" t="s">
        <v>12</v>
      </c>
      <c r="S7" s="11" t="s">
        <v>5</v>
      </c>
      <c r="T7" s="11" t="s">
        <v>12</v>
      </c>
      <c r="U7" s="11" t="s">
        <v>5</v>
      </c>
      <c r="V7" s="11" t="s">
        <v>12</v>
      </c>
      <c r="W7" s="11" t="s">
        <v>5</v>
      </c>
      <c r="X7" s="11" t="s">
        <v>12</v>
      </c>
      <c r="Y7" s="11" t="s">
        <v>5</v>
      </c>
      <c r="Z7" s="11" t="s">
        <v>12</v>
      </c>
      <c r="AA7" s="17" t="s">
        <v>5</v>
      </c>
      <c r="AB7" s="11" t="s">
        <v>40</v>
      </c>
      <c r="AC7" s="24" t="s">
        <v>5</v>
      </c>
      <c r="AD7" s="24" t="s">
        <v>40</v>
      </c>
      <c r="AE7" s="24" t="s">
        <v>42</v>
      </c>
      <c r="AF7" s="24" t="s">
        <v>41</v>
      </c>
      <c r="AG7" s="24" t="s">
        <v>51</v>
      </c>
      <c r="AH7" s="24" t="s">
        <v>41</v>
      </c>
      <c r="AI7" s="24" t="s">
        <v>42</v>
      </c>
      <c r="AJ7" s="24" t="s">
        <v>41</v>
      </c>
      <c r="AK7" s="24" t="s">
        <v>51</v>
      </c>
      <c r="AL7" s="24" t="s">
        <v>41</v>
      </c>
      <c r="AM7" s="24" t="s">
        <v>42</v>
      </c>
      <c r="AN7" s="24" t="s">
        <v>41</v>
      </c>
      <c r="AO7" s="24" t="s">
        <v>51</v>
      </c>
      <c r="AP7" s="24" t="s">
        <v>41</v>
      </c>
      <c r="AQ7" s="24" t="s">
        <v>42</v>
      </c>
      <c r="AR7" s="24" t="s">
        <v>41</v>
      </c>
      <c r="AS7" s="24" t="s">
        <v>51</v>
      </c>
      <c r="AT7" s="24" t="s">
        <v>41</v>
      </c>
      <c r="AU7" s="24" t="s">
        <v>5</v>
      </c>
      <c r="AV7" s="24" t="s">
        <v>50</v>
      </c>
      <c r="AW7" s="49"/>
      <c r="AX7" s="49"/>
      <c r="AY7" s="49"/>
      <c r="AZ7" s="49"/>
    </row>
    <row r="8" spans="1:52">
      <c r="A8" s="133" t="s">
        <v>46</v>
      </c>
      <c r="B8" s="134"/>
      <c r="C8" s="119">
        <v>4339281.38</v>
      </c>
      <c r="D8" s="119">
        <v>301680.46000000002</v>
      </c>
      <c r="E8" s="119">
        <f t="shared" ref="E8:AD8" si="0">SUM(E10:E14)</f>
        <v>1585306.45</v>
      </c>
      <c r="F8" s="119">
        <f t="shared" si="0"/>
        <v>1801203.7999999998</v>
      </c>
      <c r="G8" s="119">
        <f t="shared" si="0"/>
        <v>1880710.93</v>
      </c>
      <c r="H8" s="119">
        <f t="shared" si="0"/>
        <v>1726285.8</v>
      </c>
      <c r="I8" s="119">
        <f t="shared" si="0"/>
        <v>2043940.37</v>
      </c>
      <c r="J8" s="119">
        <f t="shared" si="0"/>
        <v>1726285.8</v>
      </c>
      <c r="K8" s="119">
        <f t="shared" si="0"/>
        <v>1800545.93</v>
      </c>
      <c r="L8" s="119">
        <f t="shared" si="0"/>
        <v>1726285.8</v>
      </c>
      <c r="M8" s="119">
        <f t="shared" si="0"/>
        <v>1791783.17</v>
      </c>
      <c r="N8" s="119">
        <f t="shared" si="0"/>
        <v>1726285.8</v>
      </c>
      <c r="O8" s="119">
        <f t="shared" si="0"/>
        <v>1777486.53</v>
      </c>
      <c r="P8" s="119">
        <f t="shared" si="0"/>
        <v>1726285.8</v>
      </c>
      <c r="Q8" s="119">
        <f t="shared" si="0"/>
        <v>1764579</v>
      </c>
      <c r="R8" s="119">
        <f t="shared" si="0"/>
        <v>1726285.8</v>
      </c>
      <c r="S8" s="119">
        <f t="shared" si="0"/>
        <v>1758347.09</v>
      </c>
      <c r="T8" s="119">
        <f t="shared" si="0"/>
        <v>1726285.8</v>
      </c>
      <c r="U8" s="119">
        <f t="shared" si="0"/>
        <v>1761309.72</v>
      </c>
      <c r="V8" s="119">
        <f t="shared" si="0"/>
        <v>1726285.8</v>
      </c>
      <c r="W8" s="119">
        <f t="shared" si="0"/>
        <v>1748835.28</v>
      </c>
      <c r="X8" s="119">
        <f t="shared" si="0"/>
        <v>1726285.8</v>
      </c>
      <c r="Y8" s="119">
        <f t="shared" si="0"/>
        <v>1009374.5399999999</v>
      </c>
      <c r="Z8" s="119">
        <f t="shared" si="0"/>
        <v>1126468.53</v>
      </c>
      <c r="AA8" s="131">
        <f t="shared" si="0"/>
        <v>11386898.26</v>
      </c>
      <c r="AB8" s="131">
        <f t="shared" si="0"/>
        <v>8994676.1799999997</v>
      </c>
      <c r="AC8" s="131">
        <f t="shared" si="0"/>
        <v>3615198.68</v>
      </c>
      <c r="AD8" s="131">
        <f t="shared" si="0"/>
        <v>0</v>
      </c>
      <c r="AE8" s="121">
        <f>AE10+AE11+AE12+AE13+AE14</f>
        <v>42333749.980000004</v>
      </c>
      <c r="AF8" s="121">
        <v>0</v>
      </c>
      <c r="AG8" s="125">
        <v>0</v>
      </c>
      <c r="AH8" s="121">
        <v>0</v>
      </c>
      <c r="AI8" s="121">
        <f t="shared" ref="AI8:AP8" si="1">AI10+AI11+AI12+AI13+AI14</f>
        <v>8750479.9399999995</v>
      </c>
      <c r="AJ8" s="121">
        <f t="shared" si="1"/>
        <v>23845.269999999997</v>
      </c>
      <c r="AK8" s="121">
        <f t="shared" si="1"/>
        <v>571235</v>
      </c>
      <c r="AL8" s="121">
        <f t="shared" si="1"/>
        <v>571235</v>
      </c>
      <c r="AM8" s="121">
        <f t="shared" si="1"/>
        <v>354308.05</v>
      </c>
      <c r="AN8" s="121">
        <f t="shared" si="1"/>
        <v>325.33999999999997</v>
      </c>
      <c r="AO8" s="121">
        <f t="shared" si="1"/>
        <v>0</v>
      </c>
      <c r="AP8" s="121">
        <f t="shared" si="1"/>
        <v>0</v>
      </c>
      <c r="AQ8" s="121">
        <f t="shared" ref="AQ8:AT8" si="2">AQ10+AQ11+AQ12+AQ13+AQ14</f>
        <v>10494810.27</v>
      </c>
      <c r="AR8" s="121">
        <f t="shared" si="2"/>
        <v>7800033.4400000004</v>
      </c>
      <c r="AS8" s="121">
        <f t="shared" si="2"/>
        <v>0</v>
      </c>
      <c r="AT8" s="121">
        <f t="shared" si="2"/>
        <v>0</v>
      </c>
      <c r="AU8" s="123">
        <f>AQ8/AM8-1</f>
        <v>28.620580932327108</v>
      </c>
      <c r="AV8" s="123" t="e">
        <f>AS8/AO8-1</f>
        <v>#DIV/0!</v>
      </c>
    </row>
    <row r="9" spans="1:52">
      <c r="A9" s="135"/>
      <c r="B9" s="136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32"/>
      <c r="AB9" s="132"/>
      <c r="AC9" s="132"/>
      <c r="AD9" s="132"/>
      <c r="AE9" s="122"/>
      <c r="AF9" s="122"/>
      <c r="AG9" s="126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4"/>
      <c r="AV9" s="124"/>
    </row>
    <row r="10" spans="1:52" ht="43.5" customHeight="1">
      <c r="A10" s="127" t="s">
        <v>10</v>
      </c>
      <c r="B10" s="128"/>
      <c r="C10" s="1"/>
      <c r="D10" s="1"/>
      <c r="E10" s="1"/>
      <c r="F10" s="1"/>
      <c r="G10" s="1">
        <f>1880710.93-1726285.8</f>
        <v>154425.12999999989</v>
      </c>
      <c r="H10" s="1"/>
      <c r="I10" s="1">
        <f>2043940.37-1726285.8</f>
        <v>317654.57000000007</v>
      </c>
      <c r="J10" s="1"/>
      <c r="K10" s="1">
        <f>1800545.93-1726285.8</f>
        <v>74260.129999999888</v>
      </c>
      <c r="L10" s="1"/>
      <c r="M10" s="1">
        <f>1791783.17-1726285.8</f>
        <v>65497.369999999879</v>
      </c>
      <c r="N10" s="1"/>
      <c r="O10" s="1">
        <f>1777486.53-1726285.8</f>
        <v>51200.729999999981</v>
      </c>
      <c r="P10" s="1"/>
      <c r="Q10" s="1">
        <v>38293.199999999997</v>
      </c>
      <c r="R10" s="1"/>
      <c r="S10" s="1"/>
      <c r="T10" s="1"/>
      <c r="U10" s="1"/>
      <c r="V10" s="1"/>
      <c r="W10" s="1"/>
      <c r="X10" s="1"/>
      <c r="Y10" s="1">
        <v>1195328.95</v>
      </c>
      <c r="Z10" s="1">
        <v>1126468.53</v>
      </c>
      <c r="AA10" s="19">
        <v>9260028.4399999995</v>
      </c>
      <c r="AB10" s="19">
        <v>8994676.1799999997</v>
      </c>
      <c r="AC10" s="19">
        <v>1203866.6499999999</v>
      </c>
      <c r="AD10" s="19"/>
      <c r="AE10" s="19">
        <f>416263.48+37900405.82+562292</f>
        <v>38878961.299999997</v>
      </c>
      <c r="AF10" s="19"/>
      <c r="AG10" s="19"/>
      <c r="AH10" s="19"/>
      <c r="AI10" s="19">
        <f>7760580.92-6672685.6</f>
        <v>1087895.3200000003</v>
      </c>
      <c r="AJ10" s="19">
        <v>18905.939999999999</v>
      </c>
      <c r="AK10" s="19">
        <v>571235</v>
      </c>
      <c r="AL10" s="19">
        <v>571235</v>
      </c>
      <c r="AM10" s="19">
        <v>157860.57999999999</v>
      </c>
      <c r="AN10" s="19">
        <v>325.33999999999997</v>
      </c>
      <c r="AO10" s="19"/>
      <c r="AP10" s="19">
        <v>0</v>
      </c>
      <c r="AQ10" s="19">
        <v>792564.75</v>
      </c>
      <c r="AR10" s="19">
        <v>6424.53</v>
      </c>
      <c r="AS10" s="19"/>
      <c r="AT10" s="19"/>
      <c r="AU10" s="33"/>
      <c r="AV10" s="33"/>
    </row>
    <row r="11" spans="1:52" ht="17.25" customHeight="1">
      <c r="A11" s="127" t="s">
        <v>7</v>
      </c>
      <c r="B11" s="128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9">
        <v>1010215.34</v>
      </c>
      <c r="AB11" s="19"/>
      <c r="AC11" s="19">
        <v>1531012.85</v>
      </c>
      <c r="AD11" s="19"/>
      <c r="AE11" s="19">
        <f>2206899.92+113179.6</f>
        <v>2320079.52</v>
      </c>
      <c r="AF11" s="19"/>
      <c r="AG11" s="19"/>
      <c r="AH11" s="19"/>
      <c r="AI11" s="19">
        <v>662186.56000000006</v>
      </c>
      <c r="AJ11" s="19"/>
      <c r="AK11" s="19"/>
      <c r="AL11" s="19"/>
      <c r="AM11" s="19"/>
      <c r="AN11" s="19"/>
      <c r="AO11" s="19"/>
      <c r="AP11" s="19"/>
      <c r="AQ11" s="19">
        <v>1368361.53</v>
      </c>
      <c r="AR11" s="19">
        <v>157866.9</v>
      </c>
      <c r="AS11" s="19"/>
      <c r="AT11" s="19"/>
      <c r="AU11" s="33"/>
      <c r="AV11" s="33"/>
    </row>
    <row r="12" spans="1:52" ht="43.5" customHeight="1">
      <c r="A12" s="127" t="s">
        <v>8</v>
      </c>
      <c r="B12" s="12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>
        <v>-16948.759999999998</v>
      </c>
      <c r="Z12" s="1"/>
      <c r="AA12" s="19">
        <v>1116654.48</v>
      </c>
      <c r="AB12" s="19"/>
      <c r="AC12" s="19">
        <v>880319.18</v>
      </c>
      <c r="AD12" s="19"/>
      <c r="AE12" s="19">
        <f>1078354.1</f>
        <v>1078354.1000000001</v>
      </c>
      <c r="AF12" s="19"/>
      <c r="AG12" s="19"/>
      <c r="AH12" s="19"/>
      <c r="AI12" s="19">
        <v>327712.46000000002</v>
      </c>
      <c r="AJ12" s="19">
        <v>4939.33</v>
      </c>
      <c r="AK12" s="19"/>
      <c r="AL12" s="19"/>
      <c r="AM12" s="19"/>
      <c r="AN12" s="19"/>
      <c r="AO12" s="19"/>
      <c r="AP12" s="19"/>
      <c r="AQ12" s="19">
        <v>782675.96</v>
      </c>
      <c r="AR12" s="19">
        <v>84533.98</v>
      </c>
      <c r="AS12" s="19"/>
      <c r="AT12" s="19"/>
      <c r="AU12" s="33"/>
      <c r="AV12" s="33"/>
    </row>
    <row r="13" spans="1:52">
      <c r="A13" s="127" t="s">
        <v>9</v>
      </c>
      <c r="B13" s="128"/>
      <c r="C13" s="1"/>
      <c r="D13" s="1"/>
      <c r="E13" s="1">
        <v>74918</v>
      </c>
      <c r="F13" s="1">
        <v>74918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>
        <v>-169005.65</v>
      </c>
      <c r="Z13" s="1"/>
      <c r="AA13" s="12"/>
      <c r="AB13" s="12"/>
      <c r="AC13" s="19"/>
      <c r="AD13" s="19"/>
      <c r="AE13" s="19">
        <v>56355.06</v>
      </c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33"/>
      <c r="AV13" s="33"/>
    </row>
    <row r="14" spans="1:52">
      <c r="A14" s="127" t="s">
        <v>14</v>
      </c>
      <c r="B14" s="128"/>
      <c r="C14" s="1"/>
      <c r="D14" s="1"/>
      <c r="E14" s="1">
        <v>1510388.45</v>
      </c>
      <c r="F14" s="1">
        <f>169005.65+1557280.15</f>
        <v>1726285.7999999998</v>
      </c>
      <c r="G14" s="1">
        <v>1726285.8</v>
      </c>
      <c r="H14" s="1">
        <v>1726285.8</v>
      </c>
      <c r="I14" s="1">
        <v>1726285.8</v>
      </c>
      <c r="J14" s="1">
        <v>1726285.8</v>
      </c>
      <c r="K14" s="1">
        <v>1726285.8</v>
      </c>
      <c r="L14" s="1">
        <v>1726285.8</v>
      </c>
      <c r="M14" s="1">
        <v>1726285.8</v>
      </c>
      <c r="N14" s="1">
        <v>1726285.8</v>
      </c>
      <c r="O14" s="1">
        <v>1726285.8</v>
      </c>
      <c r="P14" s="1">
        <v>1726285.8</v>
      </c>
      <c r="Q14" s="1">
        <v>1726285.8</v>
      </c>
      <c r="R14" s="1">
        <v>1726285.8</v>
      </c>
      <c r="S14" s="1">
        <v>1758347.09</v>
      </c>
      <c r="T14" s="1">
        <v>1726285.8</v>
      </c>
      <c r="U14" s="1">
        <v>1761309.72</v>
      </c>
      <c r="V14" s="1">
        <v>1726285.8</v>
      </c>
      <c r="W14" s="1">
        <v>1748835.28</v>
      </c>
      <c r="X14" s="1">
        <v>1726285.8</v>
      </c>
      <c r="Y14" s="1"/>
      <c r="Z14" s="1"/>
      <c r="AA14" s="12"/>
      <c r="AB14" s="12"/>
      <c r="AC14" s="19"/>
      <c r="AD14" s="19"/>
      <c r="AE14" s="19"/>
      <c r="AF14" s="19"/>
      <c r="AG14" s="19"/>
      <c r="AH14" s="19"/>
      <c r="AI14" s="19">
        <v>6672685.5999999996</v>
      </c>
      <c r="AJ14" s="19"/>
      <c r="AK14" s="19"/>
      <c r="AL14" s="19"/>
      <c r="AM14" s="19">
        <v>196447.47</v>
      </c>
      <c r="AN14" s="19"/>
      <c r="AO14" s="19"/>
      <c r="AP14" s="19"/>
      <c r="AQ14" s="59">
        <v>7551208.0300000003</v>
      </c>
      <c r="AR14" s="59">
        <v>7551208.0300000003</v>
      </c>
      <c r="AS14" s="19"/>
      <c r="AT14" s="19"/>
      <c r="AU14" s="33"/>
      <c r="AV14" s="33"/>
    </row>
    <row r="15" spans="1:52">
      <c r="A15" s="129" t="s">
        <v>49</v>
      </c>
      <c r="B15" s="130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7"/>
      <c r="AB15" s="37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45">
        <f>AM16+AM17+AM18+AM19+AM20</f>
        <v>156091.94</v>
      </c>
      <c r="AN15" s="38">
        <f>AN16+AN17+AN18+AN19+AN20</f>
        <v>0</v>
      </c>
      <c r="AO15" s="38">
        <f t="shared" ref="AO15:AP15" si="3">AO16+AO17+AO18+AO19+AO20</f>
        <v>0</v>
      </c>
      <c r="AP15" s="38">
        <f t="shared" si="3"/>
        <v>0</v>
      </c>
      <c r="AQ15" s="46">
        <f>AQ16+AQ17+AQ18+AQ19+AQ20</f>
        <v>729327.49</v>
      </c>
      <c r="AR15" s="57">
        <f>AR16+AR17+AR18+AR19+AR20</f>
        <v>0</v>
      </c>
      <c r="AS15" s="46">
        <f t="shared" ref="AS15:AT15" si="4">AS16+AS17+AS18+AS19+AS20</f>
        <v>0</v>
      </c>
      <c r="AT15" s="46">
        <f t="shared" si="4"/>
        <v>0</v>
      </c>
      <c r="AU15" s="52">
        <f>AQ15/AM15-1</f>
        <v>3.6724224838258781</v>
      </c>
      <c r="AV15" s="53" t="e">
        <f>AO15/AK15-1</f>
        <v>#DIV/0!</v>
      </c>
    </row>
    <row r="16" spans="1:52" ht="44.25" customHeight="1">
      <c r="A16" s="127" t="s">
        <v>10</v>
      </c>
      <c r="B16" s="128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7"/>
      <c r="AB16" s="37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>
        <v>141091.94</v>
      </c>
      <c r="AN16" s="38"/>
      <c r="AO16" s="38"/>
      <c r="AP16" s="38"/>
      <c r="AQ16" s="54">
        <v>68317.25</v>
      </c>
      <c r="AR16" s="54"/>
      <c r="AS16" s="54"/>
      <c r="AT16" s="54"/>
      <c r="AU16" s="53"/>
      <c r="AV16" s="53"/>
    </row>
    <row r="17" spans="1:48">
      <c r="A17" s="127" t="s">
        <v>7</v>
      </c>
      <c r="B17" s="128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7"/>
      <c r="AB17" s="37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54">
        <v>390120.24</v>
      </c>
      <c r="AR17" s="54"/>
      <c r="AS17" s="54"/>
      <c r="AT17" s="54"/>
      <c r="AU17" s="53"/>
      <c r="AV17" s="53"/>
    </row>
    <row r="18" spans="1:48" ht="45" customHeight="1">
      <c r="A18" s="127" t="s">
        <v>8</v>
      </c>
      <c r="B18" s="128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7"/>
      <c r="AB18" s="37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54">
        <v>270890</v>
      </c>
      <c r="AS18" s="54"/>
      <c r="AT18" s="54"/>
      <c r="AU18" s="53"/>
      <c r="AV18" s="53"/>
    </row>
    <row r="19" spans="1:48">
      <c r="A19" s="127" t="s">
        <v>9</v>
      </c>
      <c r="B19" s="128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7"/>
      <c r="AB19" s="37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>
        <v>15000</v>
      </c>
      <c r="AN19" s="38"/>
      <c r="AO19" s="38"/>
      <c r="AP19" s="38"/>
      <c r="AQ19" s="37"/>
      <c r="AR19" s="54"/>
      <c r="AS19" s="37"/>
      <c r="AT19" s="37"/>
      <c r="AU19" s="39"/>
      <c r="AV19" s="39"/>
    </row>
    <row r="20" spans="1:48">
      <c r="A20" s="127" t="s">
        <v>14</v>
      </c>
      <c r="B20" s="128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7"/>
      <c r="AB20" s="37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7"/>
      <c r="AN20" s="37"/>
      <c r="AO20" s="37"/>
      <c r="AP20" s="37"/>
      <c r="AQ20" s="37"/>
      <c r="AR20" s="37"/>
      <c r="AS20" s="37"/>
      <c r="AT20" s="37"/>
      <c r="AU20" s="39"/>
      <c r="AV20" s="39"/>
    </row>
    <row r="21" spans="1:48">
      <c r="A21" s="129" t="s">
        <v>43</v>
      </c>
      <c r="B21" s="137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7"/>
      <c r="AB21" s="37"/>
      <c r="AC21" s="38"/>
      <c r="AD21" s="38"/>
      <c r="AE21" s="38"/>
      <c r="AF21" s="38"/>
      <c r="AG21" s="38"/>
      <c r="AH21" s="38"/>
      <c r="AI21" s="42">
        <f>AI22+AI23+AI24+AI25+AI26</f>
        <v>26697082.129999999</v>
      </c>
      <c r="AJ21" s="42">
        <f>AJ22+AJ23+AJ24+AJ25+AJ26</f>
        <v>0</v>
      </c>
      <c r="AK21" s="42">
        <f t="shared" ref="AK21:AL21" si="5">AK22+AK23+AK24+AK25+AK26</f>
        <v>0</v>
      </c>
      <c r="AL21" s="42">
        <f t="shared" si="5"/>
        <v>0</v>
      </c>
      <c r="AM21" s="45">
        <f>AM22+AM23+AM24+AM25+AM26</f>
        <v>7046213.1400000006</v>
      </c>
      <c r="AN21" s="45">
        <f>AN22+AN23+AN24+AN25+AN26</f>
        <v>0</v>
      </c>
      <c r="AO21" s="45">
        <f t="shared" ref="AO21:AP21" si="6">AO22+AO23+AO24+AO25+AO26</f>
        <v>0</v>
      </c>
      <c r="AP21" s="45">
        <f t="shared" si="6"/>
        <v>0</v>
      </c>
      <c r="AQ21" s="46">
        <f>AQ22+AQ23+AQ24+AQ25+AQ26</f>
        <v>7063403.71</v>
      </c>
      <c r="AR21" s="46">
        <f>AR22+AR23+AR24+AR25+AR26</f>
        <v>0</v>
      </c>
      <c r="AS21" s="46">
        <f t="shared" ref="AS21:AT21" si="7">AS22+AS23+AS24+AS25+AS26</f>
        <v>0</v>
      </c>
      <c r="AT21" s="46">
        <f t="shared" si="7"/>
        <v>0</v>
      </c>
      <c r="AU21" s="52">
        <f>AQ21/AM21-1</f>
        <v>2.4396891860127834E-3</v>
      </c>
      <c r="AV21" s="53" t="e">
        <f>AS21/AO21-1</f>
        <v>#DIV/0!</v>
      </c>
    </row>
    <row r="22" spans="1:48" ht="45.75" customHeight="1">
      <c r="A22" s="127" t="s">
        <v>10</v>
      </c>
      <c r="B22" s="128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7"/>
      <c r="AB22" s="37"/>
      <c r="AC22" s="38"/>
      <c r="AD22" s="38"/>
      <c r="AE22" s="38"/>
      <c r="AF22" s="38"/>
      <c r="AG22" s="38"/>
      <c r="AH22" s="38"/>
      <c r="AI22" s="38">
        <f>25203858.74+194052.76</f>
        <v>25397911.5</v>
      </c>
      <c r="AJ22" s="38">
        <v>0</v>
      </c>
      <c r="AK22" s="38"/>
      <c r="AL22" s="38"/>
      <c r="AM22" s="38">
        <v>6735942.4500000002</v>
      </c>
      <c r="AN22" s="38"/>
      <c r="AO22" s="38"/>
      <c r="AP22" s="38"/>
      <c r="AQ22" s="54">
        <v>6735942.4500000002</v>
      </c>
      <c r="AR22" s="54"/>
      <c r="AS22" s="54"/>
      <c r="AT22" s="54"/>
      <c r="AU22" s="52"/>
      <c r="AV22" s="53"/>
    </row>
    <row r="23" spans="1:48">
      <c r="A23" s="127" t="s">
        <v>7</v>
      </c>
      <c r="B23" s="128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/>
      <c r="AB23" s="37"/>
      <c r="AC23" s="38"/>
      <c r="AD23" s="38"/>
      <c r="AE23" s="38"/>
      <c r="AF23" s="38"/>
      <c r="AG23" s="38"/>
      <c r="AH23" s="38"/>
      <c r="AI23" s="38">
        <v>1250280.08</v>
      </c>
      <c r="AJ23" s="38"/>
      <c r="AK23" s="38"/>
      <c r="AL23" s="38"/>
      <c r="AM23" s="38">
        <v>209315.95</v>
      </c>
      <c r="AN23" s="45"/>
      <c r="AO23" s="45"/>
      <c r="AP23" s="38"/>
      <c r="AQ23" s="54">
        <v>227613.74</v>
      </c>
      <c r="AR23" s="54"/>
      <c r="AS23" s="54"/>
      <c r="AT23" s="54"/>
      <c r="AU23" s="52"/>
      <c r="AV23" s="53"/>
    </row>
    <row r="24" spans="1:48" ht="45" customHeight="1">
      <c r="A24" s="127" t="s">
        <v>8</v>
      </c>
      <c r="B24" s="128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7"/>
      <c r="AB24" s="37"/>
      <c r="AC24" s="38"/>
      <c r="AD24" s="38"/>
      <c r="AE24" s="38"/>
      <c r="AF24" s="38"/>
      <c r="AG24" s="38"/>
      <c r="AH24" s="38"/>
      <c r="AI24" s="38">
        <v>48890.55</v>
      </c>
      <c r="AJ24" s="38"/>
      <c r="AK24" s="38"/>
      <c r="AL24" s="38"/>
      <c r="AM24" s="38">
        <v>100954.74</v>
      </c>
      <c r="AN24" s="45"/>
      <c r="AO24" s="45"/>
      <c r="AP24" s="38"/>
      <c r="AQ24" s="54">
        <v>99847.52</v>
      </c>
      <c r="AR24" s="54"/>
      <c r="AS24" s="54"/>
      <c r="AT24" s="54"/>
      <c r="AU24" s="52"/>
      <c r="AV24" s="53"/>
    </row>
    <row r="25" spans="1:48">
      <c r="A25" s="127" t="s">
        <v>9</v>
      </c>
      <c r="B25" s="128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7"/>
      <c r="AB25" s="37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45"/>
      <c r="AO25" s="45"/>
      <c r="AP25" s="38"/>
      <c r="AQ25" s="37"/>
      <c r="AR25" s="37"/>
      <c r="AS25" s="37"/>
      <c r="AT25" s="37"/>
      <c r="AU25" s="51"/>
      <c r="AV25" s="39"/>
    </row>
    <row r="26" spans="1:48">
      <c r="A26" s="127" t="s">
        <v>14</v>
      </c>
      <c r="B26" s="128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7"/>
      <c r="AB26" s="37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45"/>
      <c r="AO26" s="45"/>
      <c r="AP26" s="38"/>
      <c r="AQ26" s="37"/>
      <c r="AR26" s="37"/>
      <c r="AS26" s="37"/>
      <c r="AT26" s="37"/>
      <c r="AU26" s="51"/>
      <c r="AV26" s="39"/>
    </row>
    <row r="27" spans="1:48">
      <c r="A27" s="129" t="s">
        <v>44</v>
      </c>
      <c r="B27" s="137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7"/>
      <c r="AB27" s="37"/>
      <c r="AC27" s="38"/>
      <c r="AD27" s="38"/>
      <c r="AE27" s="38"/>
      <c r="AF27" s="38"/>
      <c r="AG27" s="38"/>
      <c r="AH27" s="38"/>
      <c r="AI27" s="42">
        <f>AI28+AI29+AI30+AI31+AI32</f>
        <v>6637461.5299999993</v>
      </c>
      <c r="AJ27" s="42">
        <f t="shared" ref="AJ27:AL27" si="8">AJ28+AJ29+AJ30+AJ31+AJ32</f>
        <v>0</v>
      </c>
      <c r="AK27" s="42">
        <v>0</v>
      </c>
      <c r="AL27" s="42">
        <f t="shared" si="8"/>
        <v>0</v>
      </c>
      <c r="AM27" s="45">
        <f>AM28+AM29+AM30+AM31+AM32</f>
        <v>9950491.6699999981</v>
      </c>
      <c r="AN27" s="45">
        <f t="shared" ref="AN27:AT27" si="9">AN28+AN29+AN30+AN31+AN32</f>
        <v>7551208.0300000003</v>
      </c>
      <c r="AO27" s="45">
        <f t="shared" si="9"/>
        <v>0</v>
      </c>
      <c r="AP27" s="45">
        <f t="shared" si="9"/>
        <v>0</v>
      </c>
      <c r="AQ27" s="46">
        <f>AQ28+AQ29+AQ30+AQ31+AQ32</f>
        <v>9384084.3300000001</v>
      </c>
      <c r="AR27" s="46">
        <f t="shared" si="9"/>
        <v>7551208.0300000003</v>
      </c>
      <c r="AS27" s="46">
        <f t="shared" si="9"/>
        <v>7551208.0300000003</v>
      </c>
      <c r="AT27" s="46">
        <f t="shared" si="9"/>
        <v>7551208.0300000003</v>
      </c>
      <c r="AU27" s="52">
        <f>AQ27/AM27-1</f>
        <v>-5.6922548029227027E-2</v>
      </c>
      <c r="AV27" s="52" t="e">
        <f>AS27/AO27-1</f>
        <v>#DIV/0!</v>
      </c>
    </row>
    <row r="28" spans="1:48" ht="44.25" customHeight="1">
      <c r="A28" s="127" t="s">
        <v>10</v>
      </c>
      <c r="B28" s="128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7"/>
      <c r="AB28" s="37"/>
      <c r="AC28" s="38"/>
      <c r="AD28" s="38"/>
      <c r="AE28" s="38"/>
      <c r="AF28" s="38"/>
      <c r="AG28" s="38"/>
      <c r="AH28" s="38"/>
      <c r="AI28" s="38">
        <v>6054851.5499999998</v>
      </c>
      <c r="AJ28" s="38"/>
      <c r="AK28" s="38">
        <v>0</v>
      </c>
      <c r="AL28" s="38"/>
      <c r="AM28" s="38">
        <v>9699259.0299999993</v>
      </c>
      <c r="AN28" s="38">
        <v>7551208.0300000003</v>
      </c>
      <c r="AO28" s="38"/>
      <c r="AP28" s="38"/>
      <c r="AQ28" s="54">
        <v>9069457.3499999996</v>
      </c>
      <c r="AR28" s="54">
        <v>7551208.0300000003</v>
      </c>
      <c r="AS28" s="54">
        <v>7551208.0300000003</v>
      </c>
      <c r="AT28" s="54">
        <v>7551208.0300000003</v>
      </c>
      <c r="AU28" s="53"/>
      <c r="AV28" s="53"/>
    </row>
    <row r="29" spans="1:48">
      <c r="A29" s="127" t="s">
        <v>7</v>
      </c>
      <c r="B29" s="128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7"/>
      <c r="AB29" s="37"/>
      <c r="AC29" s="38"/>
      <c r="AD29" s="38"/>
      <c r="AE29" s="38"/>
      <c r="AF29" s="38"/>
      <c r="AG29" s="38"/>
      <c r="AH29" s="38"/>
      <c r="AI29" s="38">
        <v>433698.23</v>
      </c>
      <c r="AJ29" s="38"/>
      <c r="AK29" s="38"/>
      <c r="AL29" s="38"/>
      <c r="AM29" s="38">
        <v>119374.78</v>
      </c>
      <c r="AN29" s="45"/>
      <c r="AO29" s="45"/>
      <c r="AP29" s="38"/>
      <c r="AQ29" s="54">
        <v>210999.13</v>
      </c>
      <c r="AR29" s="54"/>
      <c r="AS29" s="54"/>
      <c r="AT29" s="54"/>
      <c r="AU29" s="53"/>
      <c r="AV29" s="53"/>
    </row>
    <row r="30" spans="1:48" ht="43.5" customHeight="1">
      <c r="A30" s="127" t="s">
        <v>8</v>
      </c>
      <c r="B30" s="128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7"/>
      <c r="AB30" s="37"/>
      <c r="AC30" s="38"/>
      <c r="AD30" s="38"/>
      <c r="AE30" s="38"/>
      <c r="AF30" s="38"/>
      <c r="AG30" s="38"/>
      <c r="AH30" s="38"/>
      <c r="AI30" s="38">
        <v>148911.75</v>
      </c>
      <c r="AJ30" s="38"/>
      <c r="AK30" s="38"/>
      <c r="AL30" s="38"/>
      <c r="AM30" s="38">
        <v>131857.85999999999</v>
      </c>
      <c r="AN30" s="45"/>
      <c r="AO30" s="45"/>
      <c r="AP30" s="38"/>
      <c r="AQ30" s="54">
        <v>103627.85</v>
      </c>
      <c r="AR30" s="54"/>
      <c r="AS30" s="54"/>
      <c r="AT30" s="54"/>
      <c r="AU30" s="53"/>
      <c r="AV30" s="53"/>
    </row>
    <row r="31" spans="1:48">
      <c r="A31" s="127" t="s">
        <v>9</v>
      </c>
      <c r="B31" s="128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7"/>
      <c r="AB31" s="37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45"/>
      <c r="AO31" s="45"/>
      <c r="AP31" s="38"/>
      <c r="AQ31" s="54"/>
      <c r="AR31" s="54"/>
      <c r="AS31" s="54"/>
      <c r="AT31" s="54"/>
      <c r="AU31" s="53"/>
      <c r="AV31" s="53"/>
    </row>
    <row r="32" spans="1:48">
      <c r="A32" s="127" t="s">
        <v>14</v>
      </c>
      <c r="B32" s="128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7"/>
      <c r="AB32" s="37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45"/>
      <c r="AO32" s="45"/>
      <c r="AP32" s="38"/>
      <c r="AQ32" s="37"/>
      <c r="AR32" s="37"/>
      <c r="AS32" s="37"/>
      <c r="AT32" s="37"/>
      <c r="AU32" s="39"/>
      <c r="AV32" s="39"/>
    </row>
    <row r="33" spans="1:48">
      <c r="A33" s="129" t="s">
        <v>45</v>
      </c>
      <c r="B33" s="130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7"/>
      <c r="AB33" s="37"/>
      <c r="AC33" s="38"/>
      <c r="AD33" s="38"/>
      <c r="AE33" s="38"/>
      <c r="AF33" s="38"/>
      <c r="AG33" s="38"/>
      <c r="AH33" s="38"/>
      <c r="AI33" s="42">
        <f t="shared" ref="AI33:AT33" si="10">AI34+AI35+AI36+AI37+AI38</f>
        <v>397801.93</v>
      </c>
      <c r="AJ33" s="42">
        <f t="shared" si="10"/>
        <v>0</v>
      </c>
      <c r="AK33" s="42">
        <f t="shared" si="10"/>
        <v>0</v>
      </c>
      <c r="AL33" s="42">
        <f t="shared" si="10"/>
        <v>0</v>
      </c>
      <c r="AM33" s="45">
        <f t="shared" si="10"/>
        <v>1912.76</v>
      </c>
      <c r="AN33" s="45">
        <f t="shared" si="10"/>
        <v>0</v>
      </c>
      <c r="AO33" s="45">
        <f t="shared" si="10"/>
        <v>0</v>
      </c>
      <c r="AP33" s="45">
        <f t="shared" si="10"/>
        <v>0</v>
      </c>
      <c r="AQ33" s="46">
        <f t="shared" si="10"/>
        <v>541024.33000000007</v>
      </c>
      <c r="AR33" s="46">
        <f t="shared" si="10"/>
        <v>0</v>
      </c>
      <c r="AS33" s="46">
        <f t="shared" si="10"/>
        <v>0</v>
      </c>
      <c r="AT33" s="46">
        <f t="shared" si="10"/>
        <v>0</v>
      </c>
      <c r="AU33" s="52">
        <f>AQ33/AM33-1</f>
        <v>281.85008573997789</v>
      </c>
      <c r="AV33" s="52" t="e">
        <f>AS33/AO33-1</f>
        <v>#DIV/0!</v>
      </c>
    </row>
    <row r="34" spans="1:48" ht="44.25" customHeight="1">
      <c r="A34" s="127" t="s">
        <v>10</v>
      </c>
      <c r="B34" s="128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7"/>
      <c r="AB34" s="37"/>
      <c r="AC34" s="38"/>
      <c r="AD34" s="38"/>
      <c r="AE34" s="38"/>
      <c r="AF34" s="38"/>
      <c r="AG34" s="38"/>
      <c r="AH34" s="38"/>
      <c r="AI34" s="38">
        <v>14976.62</v>
      </c>
      <c r="AJ34" s="38"/>
      <c r="AK34" s="38"/>
      <c r="AL34" s="38"/>
      <c r="AM34" s="38">
        <v>1912.76</v>
      </c>
      <c r="AN34" s="38"/>
      <c r="AO34" s="45"/>
      <c r="AP34" s="45"/>
      <c r="AQ34" s="46"/>
      <c r="AR34" s="46"/>
      <c r="AS34" s="46"/>
      <c r="AT34" s="46"/>
      <c r="AU34" s="53"/>
      <c r="AV34" s="53"/>
    </row>
    <row r="35" spans="1:48">
      <c r="A35" s="127" t="s">
        <v>7</v>
      </c>
      <c r="B35" s="128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7"/>
      <c r="AB35" s="37"/>
      <c r="AC35" s="38"/>
      <c r="AD35" s="38"/>
      <c r="AE35" s="38"/>
      <c r="AF35" s="38"/>
      <c r="AG35" s="38"/>
      <c r="AH35" s="38"/>
      <c r="AI35" s="38">
        <v>228134.86</v>
      </c>
      <c r="AJ35" s="38"/>
      <c r="AK35" s="38"/>
      <c r="AL35" s="38"/>
      <c r="AM35" s="37"/>
      <c r="AN35" s="40"/>
      <c r="AO35" s="40"/>
      <c r="AP35" s="40"/>
      <c r="AQ35" s="46">
        <v>369197.46</v>
      </c>
      <c r="AR35" s="46"/>
      <c r="AS35" s="46"/>
      <c r="AT35" s="46"/>
      <c r="AU35" s="53"/>
      <c r="AV35" s="53"/>
    </row>
    <row r="36" spans="1:48" ht="29.25" customHeight="1">
      <c r="A36" s="127" t="s">
        <v>8</v>
      </c>
      <c r="B36" s="128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7"/>
      <c r="AB36" s="37"/>
      <c r="AC36" s="38"/>
      <c r="AD36" s="38"/>
      <c r="AE36" s="38"/>
      <c r="AF36" s="38"/>
      <c r="AG36" s="38"/>
      <c r="AH36" s="38"/>
      <c r="AI36" s="38">
        <v>154690.45000000001</v>
      </c>
      <c r="AJ36" s="38"/>
      <c r="AK36" s="38"/>
      <c r="AL36" s="38"/>
      <c r="AM36" s="37"/>
      <c r="AN36" s="40"/>
      <c r="AO36" s="40"/>
      <c r="AP36" s="40"/>
      <c r="AQ36" s="46">
        <v>171826.87</v>
      </c>
      <c r="AR36" s="46"/>
      <c r="AS36" s="46"/>
      <c r="AT36" s="46"/>
      <c r="AU36" s="53"/>
      <c r="AV36" s="53"/>
    </row>
    <row r="37" spans="1:48">
      <c r="A37" s="127" t="s">
        <v>9</v>
      </c>
      <c r="B37" s="128"/>
      <c r="C37" s="43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7"/>
      <c r="AB37" s="37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7"/>
      <c r="AN37" s="40"/>
      <c r="AO37" s="40"/>
      <c r="AP37" s="40"/>
      <c r="AQ37" s="40"/>
      <c r="AR37" s="40"/>
      <c r="AS37" s="40"/>
      <c r="AT37" s="40"/>
      <c r="AU37" s="39"/>
      <c r="AV37" s="39"/>
    </row>
    <row r="38" spans="1:48">
      <c r="A38" s="127" t="s">
        <v>14</v>
      </c>
      <c r="B38" s="128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7"/>
      <c r="AB38" s="37"/>
      <c r="AC38" s="38"/>
      <c r="AD38" s="38"/>
      <c r="AE38" s="38"/>
      <c r="AF38" s="38"/>
      <c r="AG38" s="38"/>
      <c r="AH38" s="38"/>
      <c r="AI38" s="37"/>
      <c r="AJ38" s="37"/>
      <c r="AK38" s="37"/>
      <c r="AL38" s="37"/>
      <c r="AM38" s="40"/>
      <c r="AN38" s="40"/>
      <c r="AO38" s="40"/>
      <c r="AP38" s="40"/>
      <c r="AQ38" s="40"/>
      <c r="AR38" s="40"/>
      <c r="AS38" s="40"/>
      <c r="AT38" s="40"/>
      <c r="AU38" s="39"/>
      <c r="AV38" s="39"/>
    </row>
    <row r="39" spans="1:48">
      <c r="A39" s="129" t="s">
        <v>48</v>
      </c>
      <c r="B39" s="137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7"/>
      <c r="AB39" s="37"/>
      <c r="AC39" s="38"/>
      <c r="AD39" s="38"/>
      <c r="AE39" s="38"/>
      <c r="AF39" s="38"/>
      <c r="AG39" s="38"/>
      <c r="AH39" s="38"/>
      <c r="AI39" s="37"/>
      <c r="AJ39" s="37"/>
      <c r="AK39" s="37"/>
      <c r="AL39" s="37"/>
      <c r="AM39" s="45">
        <f t="shared" ref="AM39:AT39" si="11">AM40+AM41+AM42+AM43+AM44</f>
        <v>11098207.4</v>
      </c>
      <c r="AN39" s="45">
        <f t="shared" si="11"/>
        <v>0</v>
      </c>
      <c r="AO39" s="45">
        <f t="shared" si="11"/>
        <v>0</v>
      </c>
      <c r="AP39" s="45">
        <f t="shared" si="11"/>
        <v>0</v>
      </c>
      <c r="AQ39" s="46">
        <f t="shared" si="11"/>
        <v>14794786.239999998</v>
      </c>
      <c r="AR39" s="46">
        <f t="shared" si="11"/>
        <v>0</v>
      </c>
      <c r="AS39" s="46">
        <f t="shared" si="11"/>
        <v>0</v>
      </c>
      <c r="AT39" s="46">
        <f t="shared" si="11"/>
        <v>0</v>
      </c>
      <c r="AU39" s="52">
        <f>AQ39/AM39-1</f>
        <v>0.3330789114645667</v>
      </c>
      <c r="AV39" s="53" t="e">
        <f>AS39/AO39-1</f>
        <v>#DIV/0!</v>
      </c>
    </row>
    <row r="40" spans="1:48" ht="47.25" customHeight="1">
      <c r="A40" s="127" t="s">
        <v>10</v>
      </c>
      <c r="B40" s="128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7"/>
      <c r="AB40" s="37"/>
      <c r="AC40" s="38"/>
      <c r="AD40" s="38"/>
      <c r="AE40" s="38"/>
      <c r="AF40" s="38"/>
      <c r="AG40" s="38"/>
      <c r="AH40" s="38"/>
      <c r="AI40" s="37"/>
      <c r="AJ40" s="37"/>
      <c r="AK40" s="37"/>
      <c r="AL40" s="37"/>
      <c r="AM40" s="38">
        <v>9947930.2799999993</v>
      </c>
      <c r="AN40" s="45"/>
      <c r="AO40" s="45"/>
      <c r="AP40" s="45"/>
      <c r="AQ40" s="46">
        <v>12862749.119999999</v>
      </c>
      <c r="AR40" s="46"/>
      <c r="AS40" s="46"/>
      <c r="AT40" s="46"/>
      <c r="AU40" s="53"/>
      <c r="AV40" s="53"/>
    </row>
    <row r="41" spans="1:48">
      <c r="A41" s="127" t="s">
        <v>7</v>
      </c>
      <c r="B41" s="128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7"/>
      <c r="AB41" s="37"/>
      <c r="AC41" s="38"/>
      <c r="AD41" s="38"/>
      <c r="AE41" s="38"/>
      <c r="AF41" s="38"/>
      <c r="AG41" s="38"/>
      <c r="AH41" s="38"/>
      <c r="AI41" s="37"/>
      <c r="AJ41" s="37"/>
      <c r="AK41" s="37"/>
      <c r="AL41" s="37"/>
      <c r="AM41" s="38">
        <v>1001348.74</v>
      </c>
      <c r="AN41" s="45"/>
      <c r="AO41" s="45"/>
      <c r="AP41" s="45"/>
      <c r="AQ41" s="46">
        <v>1389550.34</v>
      </c>
      <c r="AR41" s="46"/>
      <c r="AS41" s="46"/>
      <c r="AT41" s="46"/>
      <c r="AU41" s="53"/>
      <c r="AV41" s="53"/>
    </row>
    <row r="42" spans="1:48" ht="43.5" customHeight="1">
      <c r="A42" s="127" t="s">
        <v>8</v>
      </c>
      <c r="B42" s="128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7"/>
      <c r="AB42" s="37"/>
      <c r="AC42" s="38"/>
      <c r="AD42" s="38"/>
      <c r="AE42" s="38"/>
      <c r="AF42" s="38"/>
      <c r="AG42" s="38"/>
      <c r="AH42" s="38"/>
      <c r="AI42" s="37"/>
      <c r="AJ42" s="37"/>
      <c r="AK42" s="37"/>
      <c r="AL42" s="37"/>
      <c r="AM42" s="38">
        <v>148928.38</v>
      </c>
      <c r="AN42" s="45"/>
      <c r="AO42" s="45"/>
      <c r="AP42" s="45"/>
      <c r="AQ42" s="46">
        <v>542486.78</v>
      </c>
      <c r="AR42" s="46"/>
      <c r="AS42" s="46"/>
      <c r="AT42" s="46"/>
      <c r="AU42" s="53"/>
      <c r="AV42" s="53"/>
    </row>
    <row r="43" spans="1:48">
      <c r="A43" s="127" t="s">
        <v>9</v>
      </c>
      <c r="B43" s="128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7"/>
      <c r="AB43" s="37"/>
      <c r="AC43" s="38"/>
      <c r="AD43" s="38"/>
      <c r="AE43" s="38"/>
      <c r="AF43" s="38"/>
      <c r="AG43" s="38"/>
      <c r="AH43" s="38"/>
      <c r="AI43" s="37"/>
      <c r="AJ43" s="37"/>
      <c r="AK43" s="37"/>
      <c r="AL43" s="37"/>
      <c r="AM43" s="45"/>
      <c r="AN43" s="45"/>
      <c r="AO43" s="45"/>
      <c r="AP43" s="45"/>
      <c r="AQ43" s="46"/>
      <c r="AR43" s="46"/>
      <c r="AS43" s="46"/>
      <c r="AT43" s="46"/>
      <c r="AU43" s="53"/>
      <c r="AV43" s="53"/>
    </row>
    <row r="44" spans="1:48">
      <c r="A44" s="127" t="s">
        <v>14</v>
      </c>
      <c r="B44" s="128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7"/>
      <c r="AB44" s="37"/>
      <c r="AC44" s="38"/>
      <c r="AD44" s="38"/>
      <c r="AE44" s="38"/>
      <c r="AF44" s="38"/>
      <c r="AG44" s="38"/>
      <c r="AH44" s="38"/>
      <c r="AI44" s="37"/>
      <c r="AJ44" s="37"/>
      <c r="AK44" s="37"/>
      <c r="AL44" s="37"/>
      <c r="AM44" s="45"/>
      <c r="AN44" s="45"/>
      <c r="AO44" s="45"/>
      <c r="AP44" s="45"/>
      <c r="AQ44" s="40"/>
      <c r="AR44" s="40"/>
      <c r="AS44" s="40"/>
      <c r="AT44" s="40"/>
      <c r="AU44" s="39"/>
      <c r="AV44" s="39"/>
    </row>
    <row r="45" spans="1:48" ht="30.75" customHeight="1">
      <c r="A45" s="129" t="s">
        <v>47</v>
      </c>
      <c r="B45" s="130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7"/>
      <c r="AB45" s="37"/>
      <c r="AC45" s="38"/>
      <c r="AD45" s="38"/>
      <c r="AE45" s="38"/>
      <c r="AF45" s="38"/>
      <c r="AG45" s="38"/>
      <c r="AH45" s="38"/>
      <c r="AI45" s="37"/>
      <c r="AJ45" s="37"/>
      <c r="AK45" s="37"/>
      <c r="AL45" s="37"/>
      <c r="AM45" s="45">
        <f t="shared" ref="AM45:AT45" si="12">AM46+AM47+AM48+AM49+AM50</f>
        <v>197302.94999999998</v>
      </c>
      <c r="AN45" s="45">
        <f t="shared" si="12"/>
        <v>0</v>
      </c>
      <c r="AO45" s="45">
        <f t="shared" si="12"/>
        <v>0</v>
      </c>
      <c r="AP45" s="45">
        <f t="shared" si="12"/>
        <v>0</v>
      </c>
      <c r="AQ45" s="46">
        <f t="shared" si="12"/>
        <v>288801.63</v>
      </c>
      <c r="AR45" s="46">
        <f t="shared" si="12"/>
        <v>0</v>
      </c>
      <c r="AS45" s="46">
        <f t="shared" si="12"/>
        <v>0</v>
      </c>
      <c r="AT45" s="46">
        <f t="shared" si="12"/>
        <v>0</v>
      </c>
      <c r="AU45" s="52">
        <f>AQ45/AM45-1</f>
        <v>0.46374714620333868</v>
      </c>
      <c r="AV45" s="53" t="e">
        <f>AS45/AO45-1</f>
        <v>#DIV/0!</v>
      </c>
    </row>
    <row r="46" spans="1:48" ht="45" customHeight="1">
      <c r="A46" s="127" t="s">
        <v>10</v>
      </c>
      <c r="B46" s="128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7"/>
      <c r="AB46" s="37"/>
      <c r="AC46" s="38"/>
      <c r="AD46" s="38"/>
      <c r="AE46" s="38"/>
      <c r="AF46" s="38"/>
      <c r="AG46" s="38"/>
      <c r="AH46" s="38"/>
      <c r="AI46" s="37"/>
      <c r="AJ46" s="37"/>
      <c r="AK46" s="37"/>
      <c r="AL46" s="37"/>
      <c r="AM46" s="38">
        <v>11132.85</v>
      </c>
      <c r="AN46" s="38"/>
      <c r="AO46" s="38"/>
      <c r="AP46" s="38"/>
      <c r="AQ46" s="54">
        <v>45764.4</v>
      </c>
      <c r="AR46" s="54"/>
      <c r="AS46" s="54"/>
      <c r="AT46" s="54"/>
      <c r="AU46" s="53"/>
      <c r="AV46" s="53"/>
    </row>
    <row r="47" spans="1:48">
      <c r="A47" s="127" t="s">
        <v>7</v>
      </c>
      <c r="B47" s="128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7"/>
      <c r="AB47" s="37"/>
      <c r="AC47" s="38"/>
      <c r="AD47" s="38"/>
      <c r="AE47" s="38"/>
      <c r="AF47" s="38"/>
      <c r="AG47" s="38"/>
      <c r="AH47" s="38"/>
      <c r="AI47" s="37"/>
      <c r="AJ47" s="37"/>
      <c r="AK47" s="37"/>
      <c r="AL47" s="37"/>
      <c r="AM47" s="38">
        <v>123478.26</v>
      </c>
      <c r="AN47" s="38"/>
      <c r="AO47" s="38"/>
      <c r="AP47" s="38"/>
      <c r="AQ47" s="54">
        <v>156336</v>
      </c>
      <c r="AR47" s="54"/>
      <c r="AS47" s="54"/>
      <c r="AT47" s="54"/>
      <c r="AU47" s="53"/>
      <c r="AV47" s="53"/>
    </row>
    <row r="48" spans="1:48" ht="45.75" customHeight="1">
      <c r="A48" s="127" t="s">
        <v>8</v>
      </c>
      <c r="B48" s="128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7"/>
      <c r="AB48" s="37"/>
      <c r="AC48" s="38"/>
      <c r="AD48" s="38"/>
      <c r="AE48" s="38"/>
      <c r="AF48" s="38"/>
      <c r="AG48" s="38"/>
      <c r="AH48" s="38"/>
      <c r="AI48" s="37"/>
      <c r="AJ48" s="37"/>
      <c r="AK48" s="37"/>
      <c r="AL48" s="37"/>
      <c r="AM48" s="38">
        <v>62691.839999999997</v>
      </c>
      <c r="AN48" s="38"/>
      <c r="AO48" s="38"/>
      <c r="AP48" s="38"/>
      <c r="AQ48" s="54">
        <v>86701.23</v>
      </c>
      <c r="AR48" s="54"/>
      <c r="AS48" s="54"/>
      <c r="AT48" s="54"/>
      <c r="AU48" s="53"/>
      <c r="AV48" s="53"/>
    </row>
    <row r="49" spans="1:51" ht="18" customHeight="1">
      <c r="A49" s="127" t="s">
        <v>9</v>
      </c>
      <c r="B49" s="128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7"/>
      <c r="AB49" s="37"/>
      <c r="AC49" s="38"/>
      <c r="AD49" s="38"/>
      <c r="AE49" s="38"/>
      <c r="AF49" s="38"/>
      <c r="AG49" s="38"/>
      <c r="AH49" s="38"/>
      <c r="AI49" s="37"/>
      <c r="AJ49" s="37"/>
      <c r="AK49" s="37"/>
      <c r="AL49" s="37"/>
      <c r="AM49" s="38"/>
      <c r="AN49" s="38"/>
      <c r="AO49" s="38"/>
      <c r="AP49" s="38"/>
      <c r="AQ49" s="37"/>
      <c r="AR49" s="37"/>
      <c r="AS49" s="37"/>
      <c r="AT49" s="37"/>
      <c r="AU49" s="39"/>
      <c r="AV49" s="39"/>
    </row>
    <row r="50" spans="1:51" ht="17.25" customHeight="1">
      <c r="A50" s="127" t="s">
        <v>14</v>
      </c>
      <c r="B50" s="128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7"/>
      <c r="AB50" s="37"/>
      <c r="AC50" s="38"/>
      <c r="AD50" s="38"/>
      <c r="AE50" s="38"/>
      <c r="AF50" s="38"/>
      <c r="AG50" s="38"/>
      <c r="AH50" s="38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9"/>
      <c r="AV50" s="39"/>
    </row>
    <row r="51" spans="1:51">
      <c r="A51" s="139" t="s">
        <v>1</v>
      </c>
      <c r="B51" s="140"/>
      <c r="C51" s="138">
        <f>SUM(C53:C57)</f>
        <v>0</v>
      </c>
      <c r="D51" s="138">
        <f>SUM(D53:D57)</f>
        <v>0</v>
      </c>
      <c r="E51" s="138">
        <f t="shared" ref="E51:AD51" si="13">SUM(E53:E57)</f>
        <v>35747.5</v>
      </c>
      <c r="F51" s="138">
        <f t="shared" si="13"/>
        <v>0</v>
      </c>
      <c r="G51" s="138">
        <f t="shared" si="13"/>
        <v>0</v>
      </c>
      <c r="H51" s="138">
        <f t="shared" si="13"/>
        <v>0</v>
      </c>
      <c r="I51" s="138">
        <f t="shared" si="13"/>
        <v>0</v>
      </c>
      <c r="J51" s="138">
        <f t="shared" si="13"/>
        <v>0</v>
      </c>
      <c r="K51" s="138">
        <f t="shared" si="13"/>
        <v>120756.41</v>
      </c>
      <c r="L51" s="138">
        <f t="shared" si="13"/>
        <v>0</v>
      </c>
      <c r="M51" s="138">
        <f t="shared" si="13"/>
        <v>144077.24</v>
      </c>
      <c r="N51" s="138">
        <f t="shared" si="13"/>
        <v>0</v>
      </c>
      <c r="O51" s="138">
        <f t="shared" si="13"/>
        <v>122267.09</v>
      </c>
      <c r="P51" s="138">
        <f t="shared" si="13"/>
        <v>0</v>
      </c>
      <c r="Q51" s="138">
        <f t="shared" si="13"/>
        <v>81760.240000000005</v>
      </c>
      <c r="R51" s="138">
        <f t="shared" si="13"/>
        <v>0</v>
      </c>
      <c r="S51" s="138">
        <f t="shared" si="13"/>
        <v>68067.33</v>
      </c>
      <c r="T51" s="138">
        <f t="shared" si="13"/>
        <v>0</v>
      </c>
      <c r="U51" s="138">
        <f t="shared" si="13"/>
        <v>61711.68</v>
      </c>
      <c r="V51" s="138">
        <f t="shared" si="13"/>
        <v>0</v>
      </c>
      <c r="W51" s="138">
        <f t="shared" si="13"/>
        <v>0</v>
      </c>
      <c r="X51" s="138">
        <f t="shared" si="13"/>
        <v>0</v>
      </c>
      <c r="Y51" s="138">
        <f t="shared" si="13"/>
        <v>217.78</v>
      </c>
      <c r="Z51" s="138">
        <f t="shared" si="13"/>
        <v>0</v>
      </c>
      <c r="AA51" s="145">
        <f t="shared" si="13"/>
        <v>187710.37</v>
      </c>
      <c r="AB51" s="145">
        <f t="shared" si="13"/>
        <v>0</v>
      </c>
      <c r="AC51" s="145">
        <f t="shared" si="13"/>
        <v>333233.98</v>
      </c>
      <c r="AD51" s="145">
        <f t="shared" si="13"/>
        <v>0</v>
      </c>
      <c r="AE51" s="125">
        <f t="shared" ref="AE51:AP51" si="14">AE53+AE54+AE55+AE56+AE57</f>
        <v>797761.55</v>
      </c>
      <c r="AF51" s="125">
        <f t="shared" si="14"/>
        <v>0</v>
      </c>
      <c r="AG51" s="125">
        <v>0</v>
      </c>
      <c r="AH51" s="125">
        <f t="shared" si="14"/>
        <v>0</v>
      </c>
      <c r="AI51" s="125">
        <f t="shared" si="14"/>
        <v>177719.41</v>
      </c>
      <c r="AJ51" s="125">
        <f t="shared" si="14"/>
        <v>0</v>
      </c>
      <c r="AK51" s="125">
        <f t="shared" si="14"/>
        <v>0</v>
      </c>
      <c r="AL51" s="125">
        <f t="shared" si="14"/>
        <v>0</v>
      </c>
      <c r="AM51" s="125">
        <f t="shared" si="14"/>
        <v>37932.990000000005</v>
      </c>
      <c r="AN51" s="125">
        <f t="shared" si="14"/>
        <v>0</v>
      </c>
      <c r="AO51" s="125">
        <f t="shared" si="14"/>
        <v>0</v>
      </c>
      <c r="AP51" s="125">
        <f t="shared" si="14"/>
        <v>0</v>
      </c>
      <c r="AQ51" s="150">
        <f t="shared" ref="AQ51:AT51" si="15">AQ53+AQ54+AQ55+AQ56+AQ57</f>
        <v>865548.49000000011</v>
      </c>
      <c r="AR51" s="150">
        <f t="shared" si="15"/>
        <v>0</v>
      </c>
      <c r="AS51" s="150">
        <f t="shared" si="15"/>
        <v>0</v>
      </c>
      <c r="AT51" s="150">
        <f t="shared" si="15"/>
        <v>0</v>
      </c>
      <c r="AU51" s="143">
        <f>AQ51/AM51-1</f>
        <v>21.817829282637618</v>
      </c>
      <c r="AV51" s="143" t="e">
        <f>AS51/AO51-1</f>
        <v>#DIV/0!</v>
      </c>
    </row>
    <row r="52" spans="1:51">
      <c r="A52" s="141"/>
      <c r="B52" s="142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32"/>
      <c r="AB52" s="132"/>
      <c r="AC52" s="132"/>
      <c r="AD52" s="132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51"/>
      <c r="AR52" s="151"/>
      <c r="AS52" s="151"/>
      <c r="AT52" s="151"/>
      <c r="AU52" s="144"/>
      <c r="AV52" s="144"/>
    </row>
    <row r="53" spans="1:51" ht="45.75" customHeight="1">
      <c r="A53" s="127" t="s">
        <v>10</v>
      </c>
      <c r="B53" s="128"/>
      <c r="C53" s="2"/>
      <c r="D53" s="2"/>
      <c r="E53" s="2">
        <v>35747.5</v>
      </c>
      <c r="F53" s="2"/>
      <c r="G53" s="2"/>
      <c r="H53" s="2"/>
      <c r="I53" s="2"/>
      <c r="J53" s="2"/>
      <c r="K53" s="2">
        <v>120756.41</v>
      </c>
      <c r="L53" s="2"/>
      <c r="M53" s="2">
        <v>144077.24</v>
      </c>
      <c r="N53" s="2"/>
      <c r="O53" s="2">
        <v>122267.09</v>
      </c>
      <c r="P53" s="2"/>
      <c r="Q53" s="2">
        <v>67770.240000000005</v>
      </c>
      <c r="R53" s="2"/>
      <c r="S53" s="2">
        <f>65281.19+2786.14</f>
        <v>68067.33</v>
      </c>
      <c r="T53" s="2"/>
      <c r="U53" s="2">
        <v>61711.68</v>
      </c>
      <c r="V53" s="2"/>
      <c r="W53" s="2"/>
      <c r="X53" s="2"/>
      <c r="Y53" s="2">
        <v>217.78</v>
      </c>
      <c r="Z53" s="2"/>
      <c r="AA53" s="16">
        <v>35</v>
      </c>
      <c r="AB53" s="16"/>
      <c r="AC53" s="16">
        <f>27611.35+117602.07</f>
        <v>145213.42000000001</v>
      </c>
      <c r="AD53" s="13"/>
      <c r="AE53" s="16">
        <f>30567.15+190377.23</f>
        <v>220944.38</v>
      </c>
      <c r="AF53" s="16"/>
      <c r="AG53" s="16"/>
      <c r="AH53" s="16"/>
      <c r="AI53" s="16">
        <f>73933.92+103785.49</f>
        <v>177719.41</v>
      </c>
      <c r="AJ53" s="16"/>
      <c r="AK53" s="16"/>
      <c r="AL53" s="16"/>
      <c r="AM53" s="16">
        <f>5043.12+32889.87</f>
        <v>37932.990000000005</v>
      </c>
      <c r="AN53" s="16"/>
      <c r="AO53" s="16"/>
      <c r="AP53" s="16"/>
      <c r="AQ53" s="23">
        <v>353483.27</v>
      </c>
      <c r="AR53" s="23"/>
      <c r="AS53" s="23"/>
      <c r="AT53" s="23"/>
      <c r="AU53" s="17"/>
      <c r="AV53" s="17"/>
    </row>
    <row r="54" spans="1:51" ht="15.75" customHeight="1">
      <c r="A54" s="127" t="s">
        <v>7</v>
      </c>
      <c r="B54" s="128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16">
        <v>172262.37</v>
      </c>
      <c r="AB54" s="16"/>
      <c r="AC54" s="16">
        <v>188020.56</v>
      </c>
      <c r="AD54" s="13"/>
      <c r="AE54" s="16">
        <v>372715</v>
      </c>
      <c r="AF54" s="16"/>
      <c r="AG54" s="16"/>
      <c r="AH54" s="16"/>
      <c r="AI54" s="13"/>
      <c r="AJ54" s="13"/>
      <c r="AK54" s="13"/>
      <c r="AL54" s="13"/>
      <c r="AM54" s="16"/>
      <c r="AN54" s="16"/>
      <c r="AO54" s="16"/>
      <c r="AP54" s="16"/>
      <c r="AQ54" s="23">
        <v>360810.3</v>
      </c>
      <c r="AR54" s="23"/>
      <c r="AS54" s="23"/>
      <c r="AT54" s="23"/>
      <c r="AU54" s="17"/>
      <c r="AV54" s="17"/>
    </row>
    <row r="55" spans="1:51" ht="46.5" customHeight="1">
      <c r="A55" s="127" t="s">
        <v>8</v>
      </c>
      <c r="B55" s="12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16"/>
      <c r="AB55" s="16"/>
      <c r="AC55" s="13"/>
      <c r="AD55" s="13"/>
      <c r="AE55" s="16"/>
      <c r="AF55" s="16"/>
      <c r="AG55" s="16"/>
      <c r="AH55" s="16"/>
      <c r="AI55" s="13"/>
      <c r="AJ55" s="13"/>
      <c r="AK55" s="13"/>
      <c r="AL55" s="13"/>
      <c r="AM55" s="13"/>
      <c r="AN55" s="13"/>
      <c r="AO55" s="13"/>
      <c r="AP55" s="13"/>
      <c r="AQ55" s="23">
        <v>151254.92000000001</v>
      </c>
      <c r="AR55" s="23"/>
      <c r="AS55" s="23"/>
      <c r="AT55" s="23"/>
      <c r="AU55" s="17"/>
      <c r="AV55" s="17"/>
    </row>
    <row r="56" spans="1:51" ht="18" customHeight="1">
      <c r="A56" s="127" t="s">
        <v>9</v>
      </c>
      <c r="B56" s="128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>
        <v>13990</v>
      </c>
      <c r="R56" s="2"/>
      <c r="S56" s="2"/>
      <c r="T56" s="2"/>
      <c r="U56" s="2"/>
      <c r="V56" s="2"/>
      <c r="W56" s="2"/>
      <c r="X56" s="2"/>
      <c r="Y56" s="2"/>
      <c r="Z56" s="2"/>
      <c r="AA56" s="16">
        <v>15413</v>
      </c>
      <c r="AB56" s="16"/>
      <c r="AC56" s="13"/>
      <c r="AD56" s="13"/>
      <c r="AE56" s="16">
        <v>204102.17</v>
      </c>
      <c r="AF56" s="16"/>
      <c r="AG56" s="16"/>
      <c r="AH56" s="16"/>
      <c r="AI56" s="13"/>
      <c r="AJ56" s="13"/>
      <c r="AK56" s="13"/>
      <c r="AL56" s="13"/>
      <c r="AM56" s="13"/>
      <c r="AN56" s="13"/>
      <c r="AO56" s="13"/>
      <c r="AP56" s="13"/>
      <c r="AQ56" s="23"/>
      <c r="AR56" s="23"/>
      <c r="AS56" s="23"/>
      <c r="AT56" s="23"/>
      <c r="AU56" s="17"/>
      <c r="AV56" s="17"/>
    </row>
    <row r="57" spans="1:51" ht="16.5" customHeight="1">
      <c r="A57" s="127" t="s">
        <v>14</v>
      </c>
      <c r="B57" s="12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16"/>
      <c r="AB57" s="16"/>
      <c r="AC57" s="13"/>
      <c r="AD57" s="13"/>
      <c r="AE57" s="16"/>
      <c r="AF57" s="16"/>
      <c r="AG57" s="16"/>
      <c r="AH57" s="16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30"/>
      <c r="AV57" s="30"/>
    </row>
    <row r="58" spans="1:51">
      <c r="A58" s="139" t="s">
        <v>2</v>
      </c>
      <c r="B58" s="140"/>
      <c r="C58" s="138">
        <v>54846675.530000001</v>
      </c>
      <c r="D58" s="138">
        <v>48940486.590000004</v>
      </c>
      <c r="E58" s="138">
        <f>SUM(E60:E64)</f>
        <v>64656891.350000001</v>
      </c>
      <c r="F58" s="138">
        <f>SUM(F60:F64)</f>
        <v>51440732.669999994</v>
      </c>
      <c r="G58" s="138">
        <f t="shared" ref="G58:AD58" si="16">SUM(G60:G64)</f>
        <v>69207433.140000001</v>
      </c>
      <c r="H58" s="138">
        <f t="shared" si="16"/>
        <v>50454846.649999999</v>
      </c>
      <c r="I58" s="138">
        <f t="shared" si="16"/>
        <v>70742852.230000004</v>
      </c>
      <c r="J58" s="138">
        <f t="shared" si="16"/>
        <v>55024116.890000001</v>
      </c>
      <c r="K58" s="138">
        <f t="shared" si="16"/>
        <v>70605066.099999994</v>
      </c>
      <c r="L58" s="138">
        <f t="shared" si="16"/>
        <v>57943952.730000004</v>
      </c>
      <c r="M58" s="138">
        <f t="shared" si="16"/>
        <v>73371785.549999997</v>
      </c>
      <c r="N58" s="138">
        <f t="shared" si="16"/>
        <v>57519633.82</v>
      </c>
      <c r="O58" s="138">
        <f t="shared" si="16"/>
        <v>69857012.25</v>
      </c>
      <c r="P58" s="138">
        <f t="shared" si="16"/>
        <v>65548817.789999999</v>
      </c>
      <c r="Q58" s="138">
        <f t="shared" si="16"/>
        <v>71509757.569999993</v>
      </c>
      <c r="R58" s="138">
        <f t="shared" si="16"/>
        <v>57862859.439999998</v>
      </c>
      <c r="S58" s="138">
        <f t="shared" si="16"/>
        <v>71486946.959999993</v>
      </c>
      <c r="T58" s="138">
        <f t="shared" si="16"/>
        <v>57789918.439999998</v>
      </c>
      <c r="U58" s="138">
        <f t="shared" si="16"/>
        <v>70592079.479999989</v>
      </c>
      <c r="V58" s="138">
        <f t="shared" si="16"/>
        <v>61579945.239999995</v>
      </c>
      <c r="W58" s="138">
        <f t="shared" si="16"/>
        <v>66866461.460000001</v>
      </c>
      <c r="X58" s="138">
        <f t="shared" si="16"/>
        <v>57735277.960000001</v>
      </c>
      <c r="Y58" s="138">
        <f t="shared" si="16"/>
        <v>103038065.23999999</v>
      </c>
      <c r="Z58" s="138">
        <f t="shared" si="16"/>
        <v>90836160.789999992</v>
      </c>
      <c r="AA58" s="145">
        <f t="shared" si="16"/>
        <v>56387437.119999997</v>
      </c>
      <c r="AB58" s="145">
        <f t="shared" si="16"/>
        <v>15533763.189999999</v>
      </c>
      <c r="AC58" s="145">
        <f t="shared" si="16"/>
        <v>119943838.53</v>
      </c>
      <c r="AD58" s="145">
        <f t="shared" si="16"/>
        <v>72448338.349999994</v>
      </c>
      <c r="AE58" s="125">
        <f t="shared" ref="AE58:AP58" si="17">AE60+AE61+AE62+AE63+AE64</f>
        <v>63217359.389999993</v>
      </c>
      <c r="AF58" s="125">
        <f t="shared" si="17"/>
        <v>27862807.449999999</v>
      </c>
      <c r="AG58" s="125">
        <f t="shared" si="17"/>
        <v>9411597.2899999991</v>
      </c>
      <c r="AH58" s="125">
        <f t="shared" si="17"/>
        <v>0</v>
      </c>
      <c r="AI58" s="125">
        <f t="shared" si="17"/>
        <v>49786014.659999996</v>
      </c>
      <c r="AJ58" s="125">
        <f t="shared" si="17"/>
        <v>26173821.319999997</v>
      </c>
      <c r="AK58" s="125">
        <f t="shared" si="17"/>
        <v>381120</v>
      </c>
      <c r="AL58" s="125">
        <f t="shared" si="17"/>
        <v>0</v>
      </c>
      <c r="AM58" s="148">
        <f t="shared" si="17"/>
        <v>39873417.130000003</v>
      </c>
      <c r="AN58" s="148">
        <f t="shared" si="17"/>
        <v>22688071.109999999</v>
      </c>
      <c r="AO58" s="148">
        <f t="shared" si="17"/>
        <v>0</v>
      </c>
      <c r="AP58" s="148">
        <f t="shared" si="17"/>
        <v>0</v>
      </c>
      <c r="AQ58" s="159">
        <f t="shared" ref="AQ58:AT58" si="18">AQ60+AQ61+AQ62+AQ63+AQ64</f>
        <v>63966141.020000003</v>
      </c>
      <c r="AR58" s="159">
        <f t="shared" si="18"/>
        <v>32756091.77</v>
      </c>
      <c r="AS58" s="159">
        <f t="shared" si="18"/>
        <v>0</v>
      </c>
      <c r="AT58" s="159">
        <f t="shared" si="18"/>
        <v>0</v>
      </c>
      <c r="AU58" s="146">
        <f>AQ58/AM58-1</f>
        <v>0.6042302271573583</v>
      </c>
      <c r="AV58" s="146" t="e">
        <f>AS58/AO58-1</f>
        <v>#DIV/0!</v>
      </c>
    </row>
    <row r="59" spans="1:51" ht="12" customHeight="1">
      <c r="A59" s="141"/>
      <c r="B59" s="142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32"/>
      <c r="AB59" s="132"/>
      <c r="AC59" s="132"/>
      <c r="AD59" s="132"/>
      <c r="AE59" s="126"/>
      <c r="AF59" s="126"/>
      <c r="AG59" s="126"/>
      <c r="AH59" s="126"/>
      <c r="AI59" s="126"/>
      <c r="AJ59" s="126"/>
      <c r="AK59" s="126"/>
      <c r="AL59" s="126"/>
      <c r="AM59" s="149"/>
      <c r="AN59" s="149"/>
      <c r="AO59" s="149"/>
      <c r="AP59" s="149"/>
      <c r="AQ59" s="160"/>
      <c r="AR59" s="160"/>
      <c r="AS59" s="160"/>
      <c r="AT59" s="160"/>
      <c r="AU59" s="147"/>
      <c r="AV59" s="147"/>
    </row>
    <row r="60" spans="1:51" ht="43.5" customHeight="1">
      <c r="A60" s="127" t="s">
        <v>10</v>
      </c>
      <c r="B60" s="128"/>
      <c r="C60" s="2"/>
      <c r="D60" s="2"/>
      <c r="E60" s="2">
        <v>10110055.9</v>
      </c>
      <c r="F60" s="2">
        <f>51442088.62-49312861.59</f>
        <v>2129227.0299999937</v>
      </c>
      <c r="G60" s="2">
        <v>10146692.35</v>
      </c>
      <c r="H60" s="2">
        <v>2129227.0299999998</v>
      </c>
      <c r="I60" s="2">
        <v>14616479.76</v>
      </c>
      <c r="J60" s="2">
        <v>2129227.0299999998</v>
      </c>
      <c r="K60" s="2">
        <v>7843217.96</v>
      </c>
      <c r="L60" s="2">
        <v>2129227.0299999998</v>
      </c>
      <c r="M60" s="2">
        <v>7533070</v>
      </c>
      <c r="N60" s="2">
        <v>2129227.0299999998</v>
      </c>
      <c r="O60" s="2">
        <v>6652443.1100000003</v>
      </c>
      <c r="P60" s="2">
        <v>2344248.65</v>
      </c>
      <c r="Q60" s="2">
        <f>8677372.77+42645.25</f>
        <v>8720018.0199999996</v>
      </c>
      <c r="R60" s="2">
        <f>2344248.65</f>
        <v>2344248.65</v>
      </c>
      <c r="S60" s="2">
        <f>69747.65+9218096.72</f>
        <v>9287844.370000001</v>
      </c>
      <c r="T60" s="2">
        <v>2271307.65</v>
      </c>
      <c r="U60" s="2">
        <f>94170.06+10964271.83</f>
        <v>11058441.890000001</v>
      </c>
      <c r="V60" s="2">
        <f>2046307.65</f>
        <v>2046307.65</v>
      </c>
      <c r="W60" s="2">
        <f>11194823.81+98358.34</f>
        <v>11293182.15</v>
      </c>
      <c r="X60" s="2">
        <f>2161998.65</f>
        <v>2161998.65</v>
      </c>
      <c r="Y60" s="2">
        <v>13594212.15</v>
      </c>
      <c r="Z60" s="2">
        <v>4751435.4800000004</v>
      </c>
      <c r="AA60" s="16">
        <f>77325.12+12375433.35</f>
        <v>12452758.469999999</v>
      </c>
      <c r="AB60" s="16">
        <v>1634678.03</v>
      </c>
      <c r="AC60" s="16">
        <f>263374.33+25371454.14</f>
        <v>25634828.469999999</v>
      </c>
      <c r="AD60" s="16">
        <v>7111498.0199999996</v>
      </c>
      <c r="AE60" s="16">
        <f>58898.5+5757823.28+84105.04+8232493.31</f>
        <v>14133320.129999999</v>
      </c>
      <c r="AF60" s="16">
        <f>58898.5+84105.04</f>
        <v>143003.53999999998</v>
      </c>
      <c r="AG60" s="16">
        <v>1077110.1399999999</v>
      </c>
      <c r="AH60" s="16"/>
      <c r="AI60" s="16">
        <f>6666650.33+5624949.78</f>
        <v>12291600.109999999</v>
      </c>
      <c r="AJ60" s="16">
        <f>35741.07+67278.18</f>
        <v>103019.25</v>
      </c>
      <c r="AK60" s="16"/>
      <c r="AL60" s="16"/>
      <c r="AM60" s="41">
        <f>37948.57+4413208.13+100915.2+4535014.6</f>
        <v>9087086.5</v>
      </c>
      <c r="AN60" s="41">
        <f>37948.57+100915.2</f>
        <v>138863.76999999999</v>
      </c>
      <c r="AO60" s="41"/>
      <c r="AP60" s="41"/>
      <c r="AQ60" s="55">
        <f>74682.07+7361405.2+440873.15+10448111</f>
        <v>18325071.420000002</v>
      </c>
      <c r="AR60" s="55">
        <f>74682.07+440873.15</f>
        <v>515555.22000000003</v>
      </c>
      <c r="AS60" s="55"/>
      <c r="AT60" s="55"/>
      <c r="AU60" s="56"/>
      <c r="AV60" s="56"/>
      <c r="AY60" s="29"/>
    </row>
    <row r="61" spans="1:51">
      <c r="A61" s="127" t="s">
        <v>7</v>
      </c>
      <c r="B61" s="128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16">
        <f>774524.11+20097533.72</f>
        <v>20872057.829999998</v>
      </c>
      <c r="AB61" s="16"/>
      <c r="AC61" s="16">
        <f>815882.11+24539657.77</f>
        <v>25355539.879999999</v>
      </c>
      <c r="AD61" s="16"/>
      <c r="AE61" s="16">
        <f>6636427.13+2761581.99+10175763.76+5190667.21</f>
        <v>24764440.090000004</v>
      </c>
      <c r="AF61" s="16">
        <f>6636427.13+10175763.76</f>
        <v>16812190.890000001</v>
      </c>
      <c r="AG61" s="16"/>
      <c r="AH61" s="16"/>
      <c r="AI61" s="16">
        <f>7952572.92+13599050.19</f>
        <v>21551623.109999999</v>
      </c>
      <c r="AJ61" s="16">
        <f>6844713.26+9282998.62</f>
        <v>16127711.879999999</v>
      </c>
      <c r="AK61" s="16"/>
      <c r="AL61" s="16"/>
      <c r="AM61" s="41">
        <f>5886637.22+1343938.79+9504699.42+3891041.08</f>
        <v>20626316.509999998</v>
      </c>
      <c r="AN61" s="41">
        <f>5886637.22+9504699.42</f>
        <v>15391336.640000001</v>
      </c>
      <c r="AO61" s="41"/>
      <c r="AP61" s="41"/>
      <c r="AQ61" s="55">
        <f>7954022.91+2531163.27+13888343.59+6697536.78</f>
        <v>31071066.550000001</v>
      </c>
      <c r="AR61" s="55">
        <f>7954022.91+13888343.59</f>
        <v>21842366.5</v>
      </c>
      <c r="AS61" s="55"/>
      <c r="AT61" s="55"/>
      <c r="AU61" s="56"/>
      <c r="AV61" s="56"/>
    </row>
    <row r="62" spans="1:51" ht="45" customHeight="1">
      <c r="A62" s="127" t="s">
        <v>8</v>
      </c>
      <c r="B62" s="128"/>
      <c r="C62" s="2"/>
      <c r="D62" s="2"/>
      <c r="E62" s="2">
        <v>4317281.3899999997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>
        <v>3356790.95</v>
      </c>
      <c r="Z62" s="2"/>
      <c r="AA62" s="16">
        <f>511757.59+6814505.62</f>
        <v>7326263.21</v>
      </c>
      <c r="AB62" s="16"/>
      <c r="AC62" s="16">
        <f>484038.54+11956133.92</f>
        <v>12440172.459999999</v>
      </c>
      <c r="AD62" s="16">
        <v>10626588</v>
      </c>
      <c r="AE62" s="16">
        <f>4846101.83+2549979.72+3834472.6+2522828.53</f>
        <v>13753382.68</v>
      </c>
      <c r="AF62" s="16">
        <f>4846101.83+3834472.6</f>
        <v>8680574.4299999997</v>
      </c>
      <c r="AG62" s="16"/>
      <c r="AH62" s="16"/>
      <c r="AI62" s="16">
        <f>7445909.28+7217099.4</f>
        <v>14663008.68</v>
      </c>
      <c r="AJ62" s="16">
        <f>4719696.68+4376171.99</f>
        <v>9095868.6699999999</v>
      </c>
      <c r="AK62" s="16"/>
      <c r="AL62" s="16"/>
      <c r="AM62" s="41">
        <f>3432978.14+381958.57+3074157.21+2597939.85</f>
        <v>9487033.7699999996</v>
      </c>
      <c r="AN62" s="41">
        <f>3432978.14+3074157.21</f>
        <v>6507135.3499999996</v>
      </c>
      <c r="AO62" s="41"/>
      <c r="AP62" s="41"/>
      <c r="AQ62" s="55">
        <f>3590994.21+1197078.12+6338210.24+2974754.88</f>
        <v>14101037.449999999</v>
      </c>
      <c r="AR62" s="55">
        <f>3590994.21+6338210.24</f>
        <v>9929204.4499999993</v>
      </c>
      <c r="AS62" s="55"/>
      <c r="AT62" s="55"/>
      <c r="AU62" s="56"/>
      <c r="AV62" s="56"/>
    </row>
    <row r="63" spans="1:51">
      <c r="A63" s="127" t="s">
        <v>9</v>
      </c>
      <c r="B63" s="128"/>
      <c r="C63" s="2"/>
      <c r="D63" s="2"/>
      <c r="E63" s="2">
        <v>50229554.060000002</v>
      </c>
      <c r="F63" s="2">
        <v>49311505.640000001</v>
      </c>
      <c r="G63" s="2">
        <f>54914409.14+4146331.65</f>
        <v>59060740.789999999</v>
      </c>
      <c r="H63" s="2">
        <f>4092516+44233103.62</f>
        <v>48325619.619999997</v>
      </c>
      <c r="I63" s="2">
        <f>4125519+52000853.47</f>
        <v>56126372.469999999</v>
      </c>
      <c r="J63" s="2">
        <f>4092516+48802373.86</f>
        <v>52894889.859999999</v>
      </c>
      <c r="K63" s="2">
        <f>4106722+58655126.14</f>
        <v>62761848.140000001</v>
      </c>
      <c r="L63" s="2">
        <f>4092516+51722209.7</f>
        <v>55814725.700000003</v>
      </c>
      <c r="M63" s="2">
        <f>3726327.65+62112387.9</f>
        <v>65838715.549999997</v>
      </c>
      <c r="N63" s="2">
        <f>51679075.14+3711331.65</f>
        <v>55390406.789999999</v>
      </c>
      <c r="O63" s="2">
        <f>3292052+59912517.14</f>
        <v>63204569.140000001</v>
      </c>
      <c r="P63" s="2">
        <f>3292052+59912517.14</f>
        <v>63204569.140000001</v>
      </c>
      <c r="Q63" s="2">
        <f>59493077.9+3296661.65</f>
        <v>62789739.549999997</v>
      </c>
      <c r="R63" s="2">
        <f>3296661.65+52221949.14</f>
        <v>55518610.789999999</v>
      </c>
      <c r="S63" s="2">
        <f>58887656.94+3311445.65</f>
        <v>62199102.589999996</v>
      </c>
      <c r="T63" s="2">
        <f>3296661.65+52221949.14</f>
        <v>55518610.789999999</v>
      </c>
      <c r="U63" s="2">
        <f>56222191.94+3311445.65</f>
        <v>59533637.589999996</v>
      </c>
      <c r="V63" s="2">
        <f>3311445.65+56222191.94</f>
        <v>59533637.589999996</v>
      </c>
      <c r="W63" s="2">
        <f>1281078.35+54292200.96</f>
        <v>55573279.310000002</v>
      </c>
      <c r="X63" s="2">
        <f>54292200.96+1281078.35</f>
        <v>55573279.310000002</v>
      </c>
      <c r="Y63" s="2">
        <v>55305512.479999997</v>
      </c>
      <c r="Z63" s="2">
        <v>55305512.479999997</v>
      </c>
      <c r="AA63" s="16">
        <v>12430432.640000001</v>
      </c>
      <c r="AB63" s="16">
        <v>12430432.640000001</v>
      </c>
      <c r="AC63" s="16">
        <v>19001954.52</v>
      </c>
      <c r="AD63" s="16">
        <v>19001954.52</v>
      </c>
      <c r="AE63" s="16">
        <f>2101880.84+3050643.64</f>
        <v>5152524.4800000004</v>
      </c>
      <c r="AF63" s="16"/>
      <c r="AG63" s="16">
        <f>2101856.09+3050642.64</f>
        <v>5152498.7300000004</v>
      </c>
      <c r="AH63" s="16"/>
      <c r="AI63" s="16">
        <f>197520+183600</f>
        <v>381120</v>
      </c>
      <c r="AJ63" s="16"/>
      <c r="AK63" s="16">
        <f>197520+183600</f>
        <v>381120</v>
      </c>
      <c r="AL63" s="16"/>
      <c r="AM63" s="41">
        <v>22245</v>
      </c>
      <c r="AN63" s="41"/>
      <c r="AO63" s="41"/>
      <c r="AP63" s="41"/>
      <c r="AQ63" s="55"/>
      <c r="AR63" s="55"/>
      <c r="AS63" s="55"/>
      <c r="AT63" s="55"/>
      <c r="AU63" s="56" t="s">
        <v>39</v>
      </c>
      <c r="AV63" s="56"/>
    </row>
    <row r="64" spans="1:51" ht="18.75" customHeight="1">
      <c r="A64" s="127" t="s">
        <v>14</v>
      </c>
      <c r="B64" s="128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>
        <v>30781549.66</v>
      </c>
      <c r="Z64" s="2">
        <v>30779212.829999998</v>
      </c>
      <c r="AA64" s="16">
        <f>3305399.51+525.46</f>
        <v>3305924.9699999997</v>
      </c>
      <c r="AB64" s="16">
        <v>1468652.52</v>
      </c>
      <c r="AC64" s="16">
        <f>37418429.35+92913.85</f>
        <v>37511343.200000003</v>
      </c>
      <c r="AD64" s="16">
        <v>35708297.810000002</v>
      </c>
      <c r="AE64" s="16">
        <f>5363159.41+45867.6+4665</f>
        <v>5413692.0099999998</v>
      </c>
      <c r="AF64" s="16">
        <f>45867.6+2181170.99</f>
        <v>2227038.5900000003</v>
      </c>
      <c r="AG64" s="16">
        <v>3181988.42</v>
      </c>
      <c r="AH64" s="16"/>
      <c r="AI64" s="16">
        <v>898662.76</v>
      </c>
      <c r="AJ64" s="16">
        <v>847221.52</v>
      </c>
      <c r="AK64" s="16"/>
      <c r="AL64" s="16"/>
      <c r="AM64" s="41">
        <v>650735.35</v>
      </c>
      <c r="AN64" s="41">
        <v>650735.35</v>
      </c>
      <c r="AO64" s="41"/>
      <c r="AP64" s="41"/>
      <c r="AQ64" s="55">
        <v>468965.6</v>
      </c>
      <c r="AR64" s="55">
        <v>468965.6</v>
      </c>
      <c r="AS64" s="55"/>
      <c r="AT64" s="55"/>
      <c r="AU64" s="56"/>
      <c r="AV64" s="56"/>
    </row>
    <row r="65" spans="1:48">
      <c r="A65" s="139" t="s">
        <v>3</v>
      </c>
      <c r="B65" s="140"/>
      <c r="C65" s="138">
        <v>-7680.14</v>
      </c>
      <c r="D65" s="138">
        <f>SUM(D67:D71)</f>
        <v>0</v>
      </c>
      <c r="E65" s="138">
        <f t="shared" ref="E65:AD65" si="19">SUM(E67:E71)</f>
        <v>0</v>
      </c>
      <c r="F65" s="138">
        <f t="shared" si="19"/>
        <v>0</v>
      </c>
      <c r="G65" s="138">
        <f t="shared" si="19"/>
        <v>114426.95</v>
      </c>
      <c r="H65" s="138">
        <f t="shared" si="19"/>
        <v>0</v>
      </c>
      <c r="I65" s="138">
        <f t="shared" si="19"/>
        <v>88290.77</v>
      </c>
      <c r="J65" s="138">
        <f t="shared" si="19"/>
        <v>0</v>
      </c>
      <c r="K65" s="138">
        <f t="shared" si="19"/>
        <v>51440.42</v>
      </c>
      <c r="L65" s="138">
        <f t="shared" si="19"/>
        <v>0</v>
      </c>
      <c r="M65" s="138">
        <f t="shared" si="19"/>
        <v>169857.58</v>
      </c>
      <c r="N65" s="138">
        <f t="shared" si="19"/>
        <v>0</v>
      </c>
      <c r="O65" s="138">
        <f t="shared" si="19"/>
        <v>77731.77</v>
      </c>
      <c r="P65" s="138">
        <f t="shared" si="19"/>
        <v>0</v>
      </c>
      <c r="Q65" s="138">
        <f t="shared" si="19"/>
        <v>55035.07</v>
      </c>
      <c r="R65" s="138">
        <f t="shared" si="19"/>
        <v>0</v>
      </c>
      <c r="S65" s="138">
        <f t="shared" si="19"/>
        <v>80513.679999999993</v>
      </c>
      <c r="T65" s="138">
        <f t="shared" si="19"/>
        <v>0</v>
      </c>
      <c r="U65" s="138">
        <f t="shared" si="19"/>
        <v>77945.259999999995</v>
      </c>
      <c r="V65" s="138">
        <f t="shared" si="19"/>
        <v>0</v>
      </c>
      <c r="W65" s="138">
        <f t="shared" si="19"/>
        <v>84064.9</v>
      </c>
      <c r="X65" s="138">
        <f t="shared" si="19"/>
        <v>0</v>
      </c>
      <c r="Y65" s="138">
        <f t="shared" si="19"/>
        <v>0</v>
      </c>
      <c r="Z65" s="138">
        <f t="shared" si="19"/>
        <v>0</v>
      </c>
      <c r="AA65" s="145">
        <f t="shared" si="19"/>
        <v>663721.94999999995</v>
      </c>
      <c r="AB65" s="145">
        <f t="shared" si="19"/>
        <v>0</v>
      </c>
      <c r="AC65" s="145">
        <f t="shared" si="19"/>
        <v>856387.40999999992</v>
      </c>
      <c r="AD65" s="145">
        <f t="shared" si="19"/>
        <v>0</v>
      </c>
      <c r="AE65" s="125">
        <f t="shared" ref="AE65:AP65" si="20">AE67+AE68+AE69+AE70+AE71</f>
        <v>1745805.9500000002</v>
      </c>
      <c r="AF65" s="125">
        <f t="shared" si="20"/>
        <v>0</v>
      </c>
      <c r="AG65" s="125">
        <v>0</v>
      </c>
      <c r="AH65" s="125">
        <f t="shared" si="20"/>
        <v>0</v>
      </c>
      <c r="AI65" s="125">
        <f t="shared" si="20"/>
        <v>732891.89999999991</v>
      </c>
      <c r="AJ65" s="125">
        <f t="shared" si="20"/>
        <v>0</v>
      </c>
      <c r="AK65" s="125">
        <f t="shared" si="20"/>
        <v>0</v>
      </c>
      <c r="AL65" s="125">
        <f t="shared" si="20"/>
        <v>0</v>
      </c>
      <c r="AM65" s="125">
        <f t="shared" si="20"/>
        <v>20734.93</v>
      </c>
      <c r="AN65" s="125">
        <f t="shared" si="20"/>
        <v>0</v>
      </c>
      <c r="AO65" s="125">
        <f t="shared" si="20"/>
        <v>0</v>
      </c>
      <c r="AP65" s="125">
        <f t="shared" si="20"/>
        <v>0</v>
      </c>
      <c r="AQ65" s="150">
        <f t="shared" ref="AQ65:AT65" si="21">AQ67+AQ68+AQ69+AQ70+AQ71</f>
        <v>1673206.2100000002</v>
      </c>
      <c r="AR65" s="150">
        <f t="shared" si="21"/>
        <v>0</v>
      </c>
      <c r="AS65" s="150">
        <f t="shared" si="21"/>
        <v>0</v>
      </c>
      <c r="AT65" s="150">
        <f t="shared" si="21"/>
        <v>0</v>
      </c>
      <c r="AU65" s="143">
        <f>AQ65/AM65-1</f>
        <v>79.695049850662627</v>
      </c>
      <c r="AV65" s="143" t="e">
        <f>AS65/AO65-1</f>
        <v>#DIV/0!</v>
      </c>
    </row>
    <row r="66" spans="1:48">
      <c r="A66" s="141"/>
      <c r="B66" s="142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32"/>
      <c r="AB66" s="132"/>
      <c r="AC66" s="132"/>
      <c r="AD66" s="132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51"/>
      <c r="AR66" s="151"/>
      <c r="AS66" s="151"/>
      <c r="AT66" s="151"/>
      <c r="AU66" s="144"/>
      <c r="AV66" s="144"/>
    </row>
    <row r="67" spans="1:48" ht="45.75" customHeight="1">
      <c r="A67" s="127" t="s">
        <v>10</v>
      </c>
      <c r="B67" s="128"/>
      <c r="C67" s="2">
        <v>0</v>
      </c>
      <c r="D67" s="2"/>
      <c r="E67" s="2">
        <v>0</v>
      </c>
      <c r="F67" s="2"/>
      <c r="G67" s="2">
        <v>114426.95</v>
      </c>
      <c r="H67" s="2"/>
      <c r="I67" s="2">
        <v>88290.77</v>
      </c>
      <c r="J67" s="2"/>
      <c r="K67" s="2">
        <v>51440.42</v>
      </c>
      <c r="L67" s="2"/>
      <c r="M67" s="2">
        <v>169857.58</v>
      </c>
      <c r="N67" s="2"/>
      <c r="O67" s="2">
        <v>77731.77</v>
      </c>
      <c r="P67" s="2"/>
      <c r="Q67" s="2">
        <v>55035.07</v>
      </c>
      <c r="R67" s="2"/>
      <c r="S67" s="2">
        <v>80513.679999999993</v>
      </c>
      <c r="T67" s="2"/>
      <c r="U67" s="2">
        <v>77945.259999999995</v>
      </c>
      <c r="V67" s="2"/>
      <c r="W67" s="2">
        <v>84064.9</v>
      </c>
      <c r="X67" s="2"/>
      <c r="Y67" s="2"/>
      <c r="Z67" s="2"/>
      <c r="AA67" s="16">
        <v>4839.6099999999997</v>
      </c>
      <c r="AB67" s="16"/>
      <c r="AC67" s="16">
        <v>85242.16</v>
      </c>
      <c r="AD67" s="13"/>
      <c r="AE67" s="16">
        <f>72200.43+5275.44</f>
        <v>77475.87</v>
      </c>
      <c r="AF67" s="16"/>
      <c r="AG67" s="16"/>
      <c r="AH67" s="16"/>
      <c r="AI67" s="16">
        <f>8639.4+10796.51</f>
        <v>19435.91</v>
      </c>
      <c r="AJ67" s="16"/>
      <c r="AK67" s="16"/>
      <c r="AL67" s="16"/>
      <c r="AM67" s="16">
        <f>13609.88+7125.05</f>
        <v>20734.93</v>
      </c>
      <c r="AN67" s="16"/>
      <c r="AO67" s="16"/>
      <c r="AP67" s="16"/>
      <c r="AQ67" s="23">
        <f>124776.33+41540.75</f>
        <v>166317.08000000002</v>
      </c>
      <c r="AR67" s="23"/>
      <c r="AS67" s="23"/>
      <c r="AT67" s="23"/>
      <c r="AU67" s="17"/>
      <c r="AV67" s="17"/>
    </row>
    <row r="68" spans="1:48">
      <c r="A68" s="127" t="s">
        <v>7</v>
      </c>
      <c r="B68" s="128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16">
        <v>446550.73</v>
      </c>
      <c r="AB68" s="16"/>
      <c r="AC68" s="16">
        <v>451706.16</v>
      </c>
      <c r="AD68" s="13"/>
      <c r="AE68" s="16">
        <f>696234.36+399212.22</f>
        <v>1095446.58</v>
      </c>
      <c r="AF68" s="16"/>
      <c r="AG68" s="16"/>
      <c r="AH68" s="16"/>
      <c r="AI68" s="16">
        <v>484362.5</v>
      </c>
      <c r="AJ68" s="16"/>
      <c r="AK68" s="16"/>
      <c r="AL68" s="16"/>
      <c r="AM68" s="16"/>
      <c r="AN68" s="16"/>
      <c r="AO68" s="16"/>
      <c r="AP68" s="16"/>
      <c r="AQ68" s="23">
        <f>548763.08+381487.46</f>
        <v>930250.54</v>
      </c>
      <c r="AR68" s="23"/>
      <c r="AS68" s="23"/>
      <c r="AT68" s="23"/>
      <c r="AU68" s="17"/>
      <c r="AV68" s="17"/>
    </row>
    <row r="69" spans="1:48" ht="44.25" customHeight="1">
      <c r="A69" s="127" t="s">
        <v>8</v>
      </c>
      <c r="B69" s="128"/>
      <c r="C69" s="2">
        <v>0</v>
      </c>
      <c r="D69" s="2"/>
      <c r="E69" s="2">
        <v>0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16"/>
      <c r="AB69" s="23"/>
      <c r="AC69" s="16">
        <v>319439.09000000003</v>
      </c>
      <c r="AD69" s="13"/>
      <c r="AE69" s="16">
        <f>340695.57+232187.93</f>
        <v>572883.5</v>
      </c>
      <c r="AF69" s="16"/>
      <c r="AG69" s="16"/>
      <c r="AH69" s="16"/>
      <c r="AI69" s="16">
        <v>229093.49</v>
      </c>
      <c r="AJ69" s="16"/>
      <c r="AK69" s="16"/>
      <c r="AL69" s="16"/>
      <c r="AM69" s="16"/>
      <c r="AN69" s="16"/>
      <c r="AO69" s="16"/>
      <c r="AP69" s="16"/>
      <c r="AQ69" s="23">
        <f>308337.77+168300.82</f>
        <v>476638.59</v>
      </c>
      <c r="AR69" s="23"/>
      <c r="AS69" s="23"/>
      <c r="AT69" s="23"/>
      <c r="AU69" s="17"/>
      <c r="AV69" s="17"/>
    </row>
    <row r="70" spans="1:48">
      <c r="A70" s="127" t="s">
        <v>9</v>
      </c>
      <c r="B70" s="128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16">
        <v>212331.61</v>
      </c>
      <c r="AB70" s="16"/>
      <c r="AC70" s="16"/>
      <c r="AD70" s="13"/>
      <c r="AE70" s="16"/>
      <c r="AF70" s="16"/>
      <c r="AG70" s="16"/>
      <c r="AH70" s="16"/>
      <c r="AI70" s="16"/>
      <c r="AJ70" s="16"/>
      <c r="AK70" s="16"/>
      <c r="AL70" s="16"/>
      <c r="AM70" s="13"/>
      <c r="AN70" s="13"/>
      <c r="AO70" s="13"/>
      <c r="AP70" s="13"/>
      <c r="AQ70" s="23"/>
      <c r="AR70" s="23"/>
      <c r="AS70" s="23"/>
      <c r="AT70" s="23"/>
      <c r="AU70" s="17"/>
      <c r="AV70" s="17"/>
    </row>
    <row r="71" spans="1:48">
      <c r="A71" s="127" t="s">
        <v>14</v>
      </c>
      <c r="B71" s="128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13"/>
      <c r="AB71" s="13"/>
      <c r="AC71" s="13"/>
      <c r="AD71" s="13"/>
      <c r="AE71" s="16"/>
      <c r="AF71" s="16"/>
      <c r="AG71" s="16"/>
      <c r="AH71" s="16"/>
      <c r="AI71" s="13"/>
      <c r="AJ71" s="13"/>
      <c r="AK71" s="13"/>
      <c r="AL71" s="13"/>
      <c r="AM71" s="13"/>
      <c r="AN71" s="13"/>
      <c r="AO71" s="13"/>
      <c r="AP71" s="13"/>
      <c r="AQ71" s="23">
        <v>100000</v>
      </c>
      <c r="AR71" s="23"/>
      <c r="AS71" s="23"/>
      <c r="AT71" s="23"/>
      <c r="AU71" s="17"/>
      <c r="AV71" s="17"/>
    </row>
    <row r="72" spans="1:48">
      <c r="A72" s="139" t="s">
        <v>16</v>
      </c>
      <c r="B72" s="140"/>
      <c r="C72" s="138">
        <v>24738.76</v>
      </c>
      <c r="D72" s="138">
        <f t="shared" ref="D72:Z72" si="22">SUM(D74:D78)</f>
        <v>0</v>
      </c>
      <c r="E72" s="138">
        <f t="shared" si="22"/>
        <v>162585.41</v>
      </c>
      <c r="F72" s="138">
        <f t="shared" si="22"/>
        <v>0</v>
      </c>
      <c r="G72" s="138">
        <f t="shared" si="22"/>
        <v>2836261.8599999994</v>
      </c>
      <c r="H72" s="138">
        <f t="shared" si="22"/>
        <v>179639.45</v>
      </c>
      <c r="I72" s="138">
        <f t="shared" si="22"/>
        <v>2968161.5</v>
      </c>
      <c r="J72" s="138">
        <f t="shared" si="22"/>
        <v>179639.45</v>
      </c>
      <c r="K72" s="138">
        <f t="shared" si="22"/>
        <v>3579888.6599999997</v>
      </c>
      <c r="L72" s="138">
        <f t="shared" si="22"/>
        <v>179639.45</v>
      </c>
      <c r="M72" s="138">
        <f t="shared" si="22"/>
        <v>2288254.44</v>
      </c>
      <c r="N72" s="138">
        <f t="shared" si="22"/>
        <v>179639.45</v>
      </c>
      <c r="O72" s="138">
        <f t="shared" si="22"/>
        <v>2699902.61</v>
      </c>
      <c r="P72" s="138">
        <f t="shared" si="22"/>
        <v>179639.45</v>
      </c>
      <c r="Q72" s="138">
        <f t="shared" si="22"/>
        <v>2782603.59</v>
      </c>
      <c r="R72" s="138">
        <f t="shared" si="22"/>
        <v>179639.45</v>
      </c>
      <c r="S72" s="138">
        <f t="shared" si="22"/>
        <v>2615855.7999999998</v>
      </c>
      <c r="T72" s="138">
        <f t="shared" si="22"/>
        <v>179639.45</v>
      </c>
      <c r="U72" s="138">
        <f t="shared" si="22"/>
        <v>2483055.5499999998</v>
      </c>
      <c r="V72" s="138">
        <f t="shared" si="22"/>
        <v>142806.04</v>
      </c>
      <c r="W72" s="138">
        <f t="shared" si="22"/>
        <v>2680559.16</v>
      </c>
      <c r="X72" s="138">
        <f t="shared" si="22"/>
        <v>142806.04</v>
      </c>
      <c r="Y72" s="138">
        <f t="shared" si="22"/>
        <v>79878.12999999999</v>
      </c>
      <c r="Z72" s="138">
        <f t="shared" si="22"/>
        <v>0</v>
      </c>
      <c r="AA72" s="145">
        <f>SUM(AA74:AA78)</f>
        <v>2592606.9299999997</v>
      </c>
      <c r="AB72" s="145">
        <f>SUM(AB74:AB78)</f>
        <v>0</v>
      </c>
      <c r="AC72" s="145">
        <f>SUM(AC74:AC78)</f>
        <v>4410926.9800000004</v>
      </c>
      <c r="AD72" s="145">
        <f>SUM(AD74:AD78)</f>
        <v>1508980.59</v>
      </c>
      <c r="AE72" s="125">
        <f t="shared" ref="AE72:AF72" si="23">AE74+AE75+AE76+AE77+AE78</f>
        <v>4401686.4800000004</v>
      </c>
      <c r="AF72" s="125">
        <f t="shared" si="23"/>
        <v>4300435.1999999993</v>
      </c>
      <c r="AG72" s="125">
        <v>0</v>
      </c>
      <c r="AH72" s="125">
        <v>0</v>
      </c>
      <c r="AI72" s="125">
        <f t="shared" ref="AI72:AP72" si="24">AI74+AI75+AI76+AI77+AI78</f>
        <v>5541568.0600000005</v>
      </c>
      <c r="AJ72" s="125">
        <f t="shared" si="24"/>
        <v>0</v>
      </c>
      <c r="AK72" s="125">
        <f>AK74+AK75+AK76+AK77+AK78</f>
        <v>0</v>
      </c>
      <c r="AL72" s="125">
        <f t="shared" si="24"/>
        <v>0</v>
      </c>
      <c r="AM72" s="150">
        <f t="shared" si="24"/>
        <v>4905226.87</v>
      </c>
      <c r="AN72" s="150">
        <f t="shared" si="24"/>
        <v>4859923.91</v>
      </c>
      <c r="AO72" s="150">
        <f t="shared" si="24"/>
        <v>0</v>
      </c>
      <c r="AP72" s="150">
        <f t="shared" si="24"/>
        <v>0</v>
      </c>
      <c r="AQ72" s="150">
        <f t="shared" ref="AQ72:AT72" si="25">AQ74+AQ75+AQ76+AQ77+AQ78</f>
        <v>6496583.6900000004</v>
      </c>
      <c r="AR72" s="150">
        <f t="shared" si="25"/>
        <v>6327480.6100000003</v>
      </c>
      <c r="AS72" s="150">
        <f t="shared" si="25"/>
        <v>0</v>
      </c>
      <c r="AT72" s="150">
        <f t="shared" si="25"/>
        <v>0</v>
      </c>
      <c r="AU72" s="143">
        <f>AQ72/AM72-1</f>
        <v>0.32442063581862435</v>
      </c>
      <c r="AV72" s="143" t="e">
        <f>AS72/AO72-1</f>
        <v>#DIV/0!</v>
      </c>
    </row>
    <row r="73" spans="1:48">
      <c r="A73" s="141"/>
      <c r="B73" s="142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32"/>
      <c r="AB73" s="132"/>
      <c r="AC73" s="132"/>
      <c r="AD73" s="132"/>
      <c r="AE73" s="126"/>
      <c r="AF73" s="126"/>
      <c r="AG73" s="126"/>
      <c r="AH73" s="126"/>
      <c r="AI73" s="126"/>
      <c r="AJ73" s="126"/>
      <c r="AK73" s="126"/>
      <c r="AL73" s="126"/>
      <c r="AM73" s="151"/>
      <c r="AN73" s="151"/>
      <c r="AO73" s="151"/>
      <c r="AP73" s="151"/>
      <c r="AQ73" s="151"/>
      <c r="AR73" s="151"/>
      <c r="AS73" s="151"/>
      <c r="AT73" s="151"/>
      <c r="AU73" s="144"/>
      <c r="AV73" s="144"/>
    </row>
    <row r="74" spans="1:48" ht="41.25" customHeight="1">
      <c r="A74" s="127" t="s">
        <v>10</v>
      </c>
      <c r="B74" s="128"/>
      <c r="C74" s="2"/>
      <c r="D74" s="2"/>
      <c r="E74" s="2">
        <v>162585.41</v>
      </c>
      <c r="F74" s="2"/>
      <c r="G74" s="2">
        <f>410855.69+138863.03</f>
        <v>549718.72</v>
      </c>
      <c r="H74" s="2">
        <v>179639.45</v>
      </c>
      <c r="I74" s="2">
        <f>349786.74+482870.23</f>
        <v>832656.97</v>
      </c>
      <c r="J74" s="2">
        <v>179639.45</v>
      </c>
      <c r="K74" s="2">
        <f>325550.4+256894.84</f>
        <v>582445.24</v>
      </c>
      <c r="L74" s="2">
        <v>179639.45</v>
      </c>
      <c r="M74" s="2">
        <f>32098.35+367708.31</f>
        <v>399806.66</v>
      </c>
      <c r="N74" s="2">
        <v>179639.45</v>
      </c>
      <c r="O74" s="2">
        <f>19053.66+339996.73</f>
        <v>359050.38999999996</v>
      </c>
      <c r="P74" s="2">
        <v>179639.45</v>
      </c>
      <c r="Q74" s="2">
        <f>214101.64+184501.39</f>
        <v>398603.03</v>
      </c>
      <c r="R74" s="2">
        <v>179639.45</v>
      </c>
      <c r="S74" s="2">
        <f>293392.92+82646.26</f>
        <v>376039.18</v>
      </c>
      <c r="T74" s="2">
        <v>179639.45</v>
      </c>
      <c r="U74" s="2">
        <f>18347.3+293392.92</f>
        <v>311740.21999999997</v>
      </c>
      <c r="V74" s="2">
        <f>142806.04</f>
        <v>142806.04</v>
      </c>
      <c r="W74" s="2">
        <f>175124.05+248350.04</f>
        <v>423474.08999999997</v>
      </c>
      <c r="X74" s="2">
        <v>142806.04</v>
      </c>
      <c r="Y74" s="2">
        <v>99147.76</v>
      </c>
      <c r="Z74" s="2"/>
      <c r="AA74" s="16">
        <f>23731.53+27555.65</f>
        <v>51287.18</v>
      </c>
      <c r="AB74" s="16"/>
      <c r="AC74" s="16">
        <f>36698.81+43106.43</f>
        <v>79805.239999999991</v>
      </c>
      <c r="AD74" s="16"/>
      <c r="AE74" s="16">
        <f>54159.74+22819.27+80774.94</f>
        <v>157753.95000000001</v>
      </c>
      <c r="AF74" s="28">
        <f>54159.74+22819.27</f>
        <v>76979.009999999995</v>
      </c>
      <c r="AG74" s="16"/>
      <c r="AH74" s="16"/>
      <c r="AI74" s="16">
        <f>43925.96+153933.91+15985</f>
        <v>213844.87</v>
      </c>
      <c r="AJ74" s="16"/>
      <c r="AK74" s="16"/>
      <c r="AL74" s="16"/>
      <c r="AM74" s="23">
        <f>68648.13+19758.87+16981.5</f>
        <v>105388.5</v>
      </c>
      <c r="AN74" s="23">
        <f>68648.13+19758.87</f>
        <v>88407</v>
      </c>
      <c r="AO74" s="23">
        <v>0</v>
      </c>
      <c r="AP74" s="23"/>
      <c r="AQ74" s="23">
        <f>112033.9+28000+191760.13+101829.54</f>
        <v>433623.57</v>
      </c>
      <c r="AR74" s="23">
        <f>112033.9+191760.13</f>
        <v>303794.03000000003</v>
      </c>
      <c r="AS74" s="23"/>
      <c r="AT74" s="23"/>
      <c r="AU74" s="17"/>
      <c r="AV74" s="17"/>
    </row>
    <row r="75" spans="1:48">
      <c r="A75" s="127" t="s">
        <v>7</v>
      </c>
      <c r="B75" s="128"/>
      <c r="C75" s="2"/>
      <c r="D75" s="2"/>
      <c r="E75" s="2"/>
      <c r="F75" s="2"/>
      <c r="G75" s="2">
        <f>1280106.96+331142.71</f>
        <v>1611249.67</v>
      </c>
      <c r="H75" s="2"/>
      <c r="I75" s="2">
        <f>1112706.33+292125.54</f>
        <v>1404831.87</v>
      </c>
      <c r="J75" s="2"/>
      <c r="K75" s="2">
        <f>1664826.89+424726.47</f>
        <v>2089553.3599999999</v>
      </c>
      <c r="L75" s="2"/>
      <c r="M75" s="2">
        <v>1291836.76</v>
      </c>
      <c r="N75" s="2"/>
      <c r="O75" s="2">
        <f>336869.12+1006180.12</f>
        <v>1343049.24</v>
      </c>
      <c r="P75" s="2"/>
      <c r="Q75" s="2">
        <f>290310.2+1054801</f>
        <v>1345111.2</v>
      </c>
      <c r="R75" s="2"/>
      <c r="S75" s="2">
        <f>210412.6+1031728.18</f>
        <v>1242140.78</v>
      </c>
      <c r="T75" s="2"/>
      <c r="U75" s="2">
        <f>144677.62+1051908.03</f>
        <v>1196585.6499999999</v>
      </c>
      <c r="V75" s="2"/>
      <c r="W75" s="2">
        <f>257630.31+1025805.39</f>
        <v>1283435.7</v>
      </c>
      <c r="X75" s="2"/>
      <c r="Y75" s="2"/>
      <c r="Z75" s="2"/>
      <c r="AA75" s="16">
        <f>367554.1+1092399.95</f>
        <v>1459954.0499999998</v>
      </c>
      <c r="AB75" s="16"/>
      <c r="AC75" s="16">
        <f>413160.07+976030.95</f>
        <v>1389191.02</v>
      </c>
      <c r="AD75" s="16"/>
      <c r="AE75" s="16">
        <f>399497.7+11131.38+1854102.36</f>
        <v>2264731.44</v>
      </c>
      <c r="AF75" s="16">
        <f>399497.7+1854102.36</f>
        <v>2253600.06</v>
      </c>
      <c r="AG75" s="16"/>
      <c r="AH75" s="16"/>
      <c r="AI75" s="16">
        <f>399597.7+2840800+11081.38</f>
        <v>3251479.08</v>
      </c>
      <c r="AJ75" s="16"/>
      <c r="AK75" s="16"/>
      <c r="AL75" s="16"/>
      <c r="AM75" s="23">
        <f>399497.7+17529.95+2611285.51</f>
        <v>3028313.1599999997</v>
      </c>
      <c r="AN75" s="23">
        <f>399497.7+2611285.51</f>
        <v>3010783.21</v>
      </c>
      <c r="AO75" s="23"/>
      <c r="AP75" s="23"/>
      <c r="AQ75" s="23">
        <f>436801.6+28076.45+3322302.25</f>
        <v>3787180.3</v>
      </c>
      <c r="AR75" s="23">
        <f>436801.6+3322302.25</f>
        <v>3759103.85</v>
      </c>
      <c r="AS75" s="23"/>
      <c r="AT75" s="23"/>
      <c r="AU75" s="17"/>
      <c r="AV75" s="17"/>
    </row>
    <row r="76" spans="1:48" ht="42" customHeight="1">
      <c r="A76" s="127" t="s">
        <v>8</v>
      </c>
      <c r="B76" s="128"/>
      <c r="C76" s="2"/>
      <c r="D76" s="2"/>
      <c r="E76" s="2"/>
      <c r="F76" s="2"/>
      <c r="G76" s="2">
        <f>191330.96+483962.51</f>
        <v>675293.47</v>
      </c>
      <c r="H76" s="2"/>
      <c r="I76" s="2">
        <f>171605.74+559066.92</f>
        <v>730672.66</v>
      </c>
      <c r="J76" s="2"/>
      <c r="K76" s="2">
        <f>209944.24+697945.82</f>
        <v>907890.05999999994</v>
      </c>
      <c r="L76" s="2"/>
      <c r="M76" s="2">
        <v>596611.02</v>
      </c>
      <c r="N76" s="2"/>
      <c r="O76" s="2">
        <f>198862.88+580042.1</f>
        <v>778904.98</v>
      </c>
      <c r="P76" s="2"/>
      <c r="Q76" s="2">
        <f>612669.18+219338.18</f>
        <v>832007.3600000001</v>
      </c>
      <c r="R76" s="2"/>
      <c r="S76" s="2">
        <f>201317.46+630998.38</f>
        <v>832315.84</v>
      </c>
      <c r="T76" s="2"/>
      <c r="U76" s="2">
        <f>184341.93+601701.1</f>
        <v>786043.03</v>
      </c>
      <c r="V76" s="2"/>
      <c r="W76" s="2">
        <f>177715.19+604861.18</f>
        <v>782576.37000000011</v>
      </c>
      <c r="X76" s="2"/>
      <c r="Y76" s="2">
        <v>-9193.7999999999993</v>
      </c>
      <c r="Z76" s="2"/>
      <c r="AA76" s="16">
        <f>254861.86+627161.14</f>
        <v>882023</v>
      </c>
      <c r="AB76" s="16"/>
      <c r="AC76" s="16">
        <f>363441.69+1320113.41</f>
        <v>1683555.0999999999</v>
      </c>
      <c r="AD76" s="16">
        <f>20923.56+643955.03</f>
        <v>664878.59000000008</v>
      </c>
      <c r="AE76" s="16">
        <f>283794.68+8867.96+960334.11</f>
        <v>1252996.75</v>
      </c>
      <c r="AF76" s="16">
        <f>283794.68+960334.11</f>
        <v>1244128.79</v>
      </c>
      <c r="AG76" s="16"/>
      <c r="AH76" s="16"/>
      <c r="AI76" s="16">
        <f>257174.49+1213163.76+30859.57</f>
        <v>1501197.82</v>
      </c>
      <c r="AJ76" s="16"/>
      <c r="AK76" s="16"/>
      <c r="AL76" s="16"/>
      <c r="AM76" s="23">
        <f>158284.05+10791.51+1060420.11</f>
        <v>1229495.6700000002</v>
      </c>
      <c r="AN76" s="23">
        <f>158284.05+1060420.11</f>
        <v>1218704.1600000001</v>
      </c>
      <c r="AO76" s="23"/>
      <c r="AP76" s="23"/>
      <c r="AQ76" s="23">
        <f>240044.03+11197.09+1495084.55</f>
        <v>1746325.67</v>
      </c>
      <c r="AR76" s="23">
        <f>240044.03+1495084.55</f>
        <v>1735128.58</v>
      </c>
      <c r="AS76" s="23"/>
      <c r="AT76" s="23"/>
      <c r="AU76" s="17"/>
      <c r="AV76" s="17"/>
    </row>
    <row r="77" spans="1:48">
      <c r="A77" s="127" t="s">
        <v>9</v>
      </c>
      <c r="B77" s="128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>
        <f>218898</f>
        <v>218898</v>
      </c>
      <c r="P77" s="2"/>
      <c r="Q77" s="2">
        <v>206882</v>
      </c>
      <c r="R77" s="2"/>
      <c r="S77" s="2">
        <v>165360</v>
      </c>
      <c r="T77" s="2"/>
      <c r="U77" s="2">
        <v>188686.65</v>
      </c>
      <c r="V77" s="2"/>
      <c r="W77" s="2">
        <f>191073</f>
        <v>191073</v>
      </c>
      <c r="X77" s="2"/>
      <c r="Y77" s="2">
        <v>-12759</v>
      </c>
      <c r="Z77" s="2"/>
      <c r="AA77" s="16"/>
      <c r="AB77" s="16"/>
      <c r="AC77" s="16"/>
      <c r="AD77" s="16"/>
      <c r="AE77" s="16">
        <f>92285.57+477</f>
        <v>92762.57</v>
      </c>
      <c r="AF77" s="16">
        <v>92285.57</v>
      </c>
      <c r="AG77" s="16"/>
      <c r="AH77" s="16"/>
      <c r="AI77" s="16">
        <f>119356.57+170</f>
        <v>119526.57</v>
      </c>
      <c r="AJ77" s="16"/>
      <c r="AK77" s="16"/>
      <c r="AL77" s="16"/>
      <c r="AM77" s="23">
        <v>64281.21</v>
      </c>
      <c r="AN77" s="23">
        <v>64281.21</v>
      </c>
      <c r="AO77" s="23"/>
      <c r="AP77" s="23"/>
      <c r="AQ77" s="23">
        <v>64281.21</v>
      </c>
      <c r="AR77" s="23">
        <v>64281.21</v>
      </c>
      <c r="AS77" s="23"/>
      <c r="AT77" s="23"/>
      <c r="AU77" s="17"/>
      <c r="AV77" s="17"/>
    </row>
    <row r="78" spans="1:48">
      <c r="A78" s="127" t="s">
        <v>14</v>
      </c>
      <c r="B78" s="128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>
        <v>2683.17</v>
      </c>
      <c r="Z78" s="2"/>
      <c r="AA78" s="16">
        <v>199342.7</v>
      </c>
      <c r="AB78" s="16"/>
      <c r="AC78" s="16">
        <f>1258375.62</f>
        <v>1258375.6200000001</v>
      </c>
      <c r="AD78" s="16">
        <v>844102</v>
      </c>
      <c r="AE78" s="16">
        <f>633441.77</f>
        <v>633441.77</v>
      </c>
      <c r="AF78" s="16">
        <v>633441.77</v>
      </c>
      <c r="AG78" s="16"/>
      <c r="AH78" s="16"/>
      <c r="AI78" s="16">
        <v>455519.72</v>
      </c>
      <c r="AJ78" s="16"/>
      <c r="AK78" s="16"/>
      <c r="AL78" s="16"/>
      <c r="AM78" s="23">
        <v>477748.33</v>
      </c>
      <c r="AN78" s="23">
        <v>477748.33</v>
      </c>
      <c r="AO78" s="23"/>
      <c r="AP78" s="23"/>
      <c r="AQ78" s="23">
        <v>465172.94</v>
      </c>
      <c r="AR78" s="23">
        <v>465172.94</v>
      </c>
      <c r="AS78" s="23"/>
      <c r="AT78" s="23"/>
      <c r="AU78" s="17"/>
      <c r="AV78" s="17"/>
    </row>
    <row r="79" spans="1:48">
      <c r="A79" s="139" t="s">
        <v>52</v>
      </c>
      <c r="B79" s="140"/>
      <c r="C79" s="138">
        <v>10765845.27</v>
      </c>
      <c r="D79" s="138">
        <v>7171240.7400000002</v>
      </c>
      <c r="E79" s="138">
        <f>SUM(E81:E85)</f>
        <v>13066265.32</v>
      </c>
      <c r="F79" s="138">
        <f>SUM(F81:F85)</f>
        <v>9363054.25</v>
      </c>
      <c r="G79" s="138">
        <f t="shared" ref="G79:AC79" si="26">SUM(G81:G85)</f>
        <v>12452961.670000002</v>
      </c>
      <c r="H79" s="138">
        <f t="shared" si="26"/>
        <v>10697359.270000001</v>
      </c>
      <c r="I79" s="138">
        <f t="shared" si="26"/>
        <v>10509503.82</v>
      </c>
      <c r="J79" s="138">
        <f t="shared" si="26"/>
        <v>9311032.910000002</v>
      </c>
      <c r="K79" s="138">
        <f t="shared" si="26"/>
        <v>9816963.7700000014</v>
      </c>
      <c r="L79" s="138">
        <f t="shared" si="26"/>
        <v>9514146.0000000019</v>
      </c>
      <c r="M79" s="138">
        <f t="shared" si="26"/>
        <v>10491903.119999999</v>
      </c>
      <c r="N79" s="138">
        <f t="shared" si="26"/>
        <v>10223094.629999999</v>
      </c>
      <c r="O79" s="138">
        <f t="shared" si="26"/>
        <v>11041075.82</v>
      </c>
      <c r="P79" s="138">
        <f t="shared" si="26"/>
        <v>9852688.540000001</v>
      </c>
      <c r="Q79" s="138">
        <f t="shared" si="26"/>
        <v>11491967.560000001</v>
      </c>
      <c r="R79" s="138">
        <f t="shared" si="26"/>
        <v>9865070.0600000005</v>
      </c>
      <c r="S79" s="138">
        <f t="shared" si="26"/>
        <v>12060303.5</v>
      </c>
      <c r="T79" s="138">
        <f t="shared" si="26"/>
        <v>10862190.040000001</v>
      </c>
      <c r="U79" s="138">
        <f t="shared" si="26"/>
        <v>11619250.300000001</v>
      </c>
      <c r="V79" s="138">
        <f t="shared" si="26"/>
        <v>9816511.040000001</v>
      </c>
      <c r="W79" s="138">
        <f t="shared" si="26"/>
        <v>11514591.1</v>
      </c>
      <c r="X79" s="138">
        <f t="shared" si="26"/>
        <v>10293165.02</v>
      </c>
      <c r="Y79" s="138">
        <f t="shared" si="26"/>
        <v>14972637.870000001</v>
      </c>
      <c r="Z79" s="138">
        <f t="shared" si="26"/>
        <v>11006589.689999999</v>
      </c>
      <c r="AA79" s="145">
        <f t="shared" si="26"/>
        <v>11434380.700000001</v>
      </c>
      <c r="AB79" s="145">
        <f t="shared" si="26"/>
        <v>1118646.56</v>
      </c>
      <c r="AC79" s="145">
        <f t="shared" si="26"/>
        <v>20378851.969999999</v>
      </c>
      <c r="AD79" s="145">
        <f t="shared" ref="AD79:AG79" si="27">AD81+AD82+AD83+AD84+AD85</f>
        <v>6845671.4899999993</v>
      </c>
      <c r="AE79" s="125">
        <f t="shared" si="27"/>
        <v>16329235.25</v>
      </c>
      <c r="AF79" s="125">
        <v>0</v>
      </c>
      <c r="AG79" s="125">
        <f t="shared" si="27"/>
        <v>5018242.82</v>
      </c>
      <c r="AH79" s="125">
        <v>0</v>
      </c>
      <c r="AI79" s="125">
        <f>AI81+AI82+AI83+AI84+AI85</f>
        <v>11485051.780000001</v>
      </c>
      <c r="AJ79" s="125"/>
      <c r="AK79" s="125">
        <f t="shared" ref="AK79:AT79" si="28">AK81+AK82+AK83+AK84+AK85</f>
        <v>0</v>
      </c>
      <c r="AL79" s="125">
        <f t="shared" si="28"/>
        <v>0</v>
      </c>
      <c r="AM79" s="150">
        <f t="shared" si="28"/>
        <v>7488101.6000000006</v>
      </c>
      <c r="AN79" s="150">
        <f t="shared" si="28"/>
        <v>0</v>
      </c>
      <c r="AO79" s="150">
        <f t="shared" si="28"/>
        <v>0</v>
      </c>
      <c r="AP79" s="150">
        <f t="shared" si="28"/>
        <v>0</v>
      </c>
      <c r="AQ79" s="150">
        <f t="shared" si="28"/>
        <v>12941904.049999999</v>
      </c>
      <c r="AR79" s="150">
        <f t="shared" si="28"/>
        <v>0</v>
      </c>
      <c r="AS79" s="150">
        <f t="shared" si="28"/>
        <v>0</v>
      </c>
      <c r="AT79" s="150">
        <f t="shared" si="28"/>
        <v>0</v>
      </c>
      <c r="AU79" s="143">
        <f>AQ79/AM79-1</f>
        <v>0.72832912016044205</v>
      </c>
      <c r="AV79" s="143" t="e">
        <f>AS79/AO79-1</f>
        <v>#DIV/0!</v>
      </c>
    </row>
    <row r="80" spans="1:48" ht="13.2" customHeight="1">
      <c r="A80" s="141"/>
      <c r="B80" s="142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32"/>
      <c r="AB80" s="132"/>
      <c r="AC80" s="132"/>
      <c r="AD80" s="132"/>
      <c r="AE80" s="126"/>
      <c r="AF80" s="126"/>
      <c r="AG80" s="126"/>
      <c r="AH80" s="126"/>
      <c r="AI80" s="126"/>
      <c r="AJ80" s="126"/>
      <c r="AK80" s="126"/>
      <c r="AL80" s="126"/>
      <c r="AM80" s="151"/>
      <c r="AN80" s="151"/>
      <c r="AO80" s="151"/>
      <c r="AP80" s="151"/>
      <c r="AQ80" s="151"/>
      <c r="AR80" s="151"/>
      <c r="AS80" s="151"/>
      <c r="AT80" s="151"/>
      <c r="AU80" s="144"/>
      <c r="AV80" s="144"/>
    </row>
    <row r="81" spans="1:48" ht="45.75" customHeight="1">
      <c r="A81" s="127" t="s">
        <v>10</v>
      </c>
      <c r="B81" s="128"/>
      <c r="C81" s="2"/>
      <c r="D81" s="2"/>
      <c r="E81" s="2">
        <v>1445875.56</v>
      </c>
      <c r="F81" s="2">
        <v>504057.32</v>
      </c>
      <c r="G81" s="2">
        <f>15780.83+1401592.32</f>
        <v>1417373.1500000001</v>
      </c>
      <c r="H81" s="2">
        <f>497307.75</f>
        <v>497307.75</v>
      </c>
      <c r="I81" s="2">
        <f>14359.15+1094634.15</f>
        <v>1108993.2999999998</v>
      </c>
      <c r="J81" s="2">
        <v>581610.39</v>
      </c>
      <c r="K81" s="2">
        <f>45290.3+812014.95</f>
        <v>857305.25</v>
      </c>
      <c r="L81" s="2">
        <v>554487.48</v>
      </c>
      <c r="M81" s="2">
        <f>22392+828113.09</f>
        <v>850505.09</v>
      </c>
      <c r="N81" s="2">
        <f>581696.6</f>
        <v>581696.6</v>
      </c>
      <c r="O81" s="2">
        <f>24207.15+1590490.12</f>
        <v>1614697.27</v>
      </c>
      <c r="P81" s="2">
        <f>484794.48</f>
        <v>484794.48</v>
      </c>
      <c r="Q81" s="2">
        <v>1906086.62</v>
      </c>
      <c r="R81" s="2"/>
      <c r="S81" s="2">
        <f>23600.15+1705289.54</f>
        <v>1728889.69</v>
      </c>
      <c r="T81" s="2">
        <v>530776.23</v>
      </c>
      <c r="U81" s="2">
        <f>2268996.34+30919.15</f>
        <v>2299915.4899999998</v>
      </c>
      <c r="V81" s="2">
        <v>497176.23</v>
      </c>
      <c r="W81" s="2">
        <f>2127960.81+48959.2</f>
        <v>2176920.0100000002</v>
      </c>
      <c r="X81" s="2">
        <v>955493.93</v>
      </c>
      <c r="Y81" s="2">
        <v>2219644.2799999998</v>
      </c>
      <c r="Z81" s="2">
        <f>782752.86</f>
        <v>782752.86</v>
      </c>
      <c r="AA81" s="16">
        <f>25455.33+3676740.99</f>
        <v>3702196.3200000003</v>
      </c>
      <c r="AB81" s="16">
        <v>370926</v>
      </c>
      <c r="AC81" s="16">
        <f>25119.87+10218497.79</f>
        <v>10243617.659999998</v>
      </c>
      <c r="AD81" s="16">
        <v>3812324.48</v>
      </c>
      <c r="AE81" s="16">
        <f>36469.87+5446750.25</f>
        <v>5483220.1200000001</v>
      </c>
      <c r="AF81" s="32">
        <v>0</v>
      </c>
      <c r="AG81" s="16">
        <v>2700000</v>
      </c>
      <c r="AH81" s="16">
        <v>0</v>
      </c>
      <c r="AI81" s="16">
        <f>10710.07+2822965.23</f>
        <v>2833675.3</v>
      </c>
      <c r="AJ81" s="16"/>
      <c r="AK81" s="16"/>
      <c r="AL81" s="16"/>
      <c r="AM81" s="23">
        <f>9192.56+2282555.49</f>
        <v>2291748.0500000003</v>
      </c>
      <c r="AN81" s="23"/>
      <c r="AO81" s="23"/>
      <c r="AP81" s="23"/>
      <c r="AQ81" s="23">
        <f>109901.93+3968052.71</f>
        <v>4077954.64</v>
      </c>
      <c r="AR81" s="23"/>
      <c r="AS81" s="23"/>
      <c r="AT81" s="23"/>
      <c r="AU81" s="17"/>
      <c r="AV81" s="17"/>
    </row>
    <row r="82" spans="1:48">
      <c r="A82" s="127" t="s">
        <v>7</v>
      </c>
      <c r="B82" s="128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>
        <v>107414.79</v>
      </c>
      <c r="R82" s="2"/>
      <c r="S82" s="2"/>
      <c r="T82" s="2"/>
      <c r="U82" s="2"/>
      <c r="V82" s="2"/>
      <c r="W82" s="2"/>
      <c r="X82" s="2"/>
      <c r="Y82" s="2"/>
      <c r="Z82" s="2"/>
      <c r="AA82" s="16">
        <f>240366.78+3338386.23</f>
        <v>3578753.01</v>
      </c>
      <c r="AB82" s="16"/>
      <c r="AC82" s="16">
        <f>213303.85+3570475.36</f>
        <v>3783779.21</v>
      </c>
      <c r="AD82" s="16"/>
      <c r="AE82" s="16">
        <f>1013379.37+4504888.09</f>
        <v>5518267.46</v>
      </c>
      <c r="AF82" s="16"/>
      <c r="AG82" s="16"/>
      <c r="AH82" s="16"/>
      <c r="AI82" s="16">
        <f>1131560.79+5170327.87</f>
        <v>6301888.6600000001</v>
      </c>
      <c r="AJ82" s="16"/>
      <c r="AK82" s="16"/>
      <c r="AL82" s="16"/>
      <c r="AM82" s="23">
        <v>4301429.2699999996</v>
      </c>
      <c r="AN82" s="23"/>
      <c r="AO82" s="23"/>
      <c r="AP82" s="23"/>
      <c r="AQ82" s="23">
        <f>1543595.93+4673325.46</f>
        <v>6216921.3899999997</v>
      </c>
      <c r="AR82" s="23"/>
      <c r="AS82" s="23"/>
      <c r="AT82" s="23"/>
      <c r="AU82" s="17"/>
      <c r="AV82" s="17"/>
    </row>
    <row r="83" spans="1:48" ht="44.25" customHeight="1">
      <c r="A83" s="127" t="s">
        <v>8</v>
      </c>
      <c r="B83" s="128"/>
      <c r="C83" s="2"/>
      <c r="D83" s="2"/>
      <c r="E83" s="2">
        <v>1463841.51</v>
      </c>
      <c r="F83" s="2"/>
      <c r="G83" s="2">
        <v>166700</v>
      </c>
      <c r="H83" s="2"/>
      <c r="I83" s="2"/>
      <c r="J83" s="2"/>
      <c r="K83" s="2"/>
      <c r="L83" s="2"/>
      <c r="M83" s="2"/>
      <c r="N83" s="2"/>
      <c r="O83" s="2">
        <v>27151.16</v>
      </c>
      <c r="P83" s="2"/>
      <c r="Q83" s="2">
        <v>78572.100000000006</v>
      </c>
      <c r="R83" s="2"/>
      <c r="S83" s="2"/>
      <c r="T83" s="2"/>
      <c r="U83" s="2"/>
      <c r="V83" s="2"/>
      <c r="W83" s="2"/>
      <c r="X83" s="2"/>
      <c r="Y83" s="2">
        <v>1439851.12</v>
      </c>
      <c r="Z83" s="2"/>
      <c r="AA83" s="16">
        <f>182858.49+1828141.64</f>
        <v>2011000.13</v>
      </c>
      <c r="AB83" s="16"/>
      <c r="AC83" s="16">
        <f>194574.38+2050743.86</f>
        <v>2245318.2400000002</v>
      </c>
      <c r="AD83" s="16"/>
      <c r="AE83" s="16">
        <f>840855.82+2166721.03</f>
        <v>3007576.8499999996</v>
      </c>
      <c r="AF83" s="16"/>
      <c r="AG83" s="16"/>
      <c r="AH83" s="16"/>
      <c r="AI83" s="16">
        <f>482166.78+1867321.04</f>
        <v>2349487.8200000003</v>
      </c>
      <c r="AJ83" s="16"/>
      <c r="AK83" s="16"/>
      <c r="AL83" s="16"/>
      <c r="AM83" s="23">
        <f>63.85+894860.43</f>
        <v>894924.28</v>
      </c>
      <c r="AN83" s="23"/>
      <c r="AO83" s="23"/>
      <c r="AP83" s="23"/>
      <c r="AQ83" s="23">
        <f>602757.02+2044271</f>
        <v>2647028.02</v>
      </c>
      <c r="AR83" s="23"/>
      <c r="AS83" s="23"/>
      <c r="AT83" s="23"/>
      <c r="AU83" s="17"/>
      <c r="AV83" s="17"/>
    </row>
    <row r="84" spans="1:48">
      <c r="A84" s="127" t="s">
        <v>9</v>
      </c>
      <c r="B84" s="128"/>
      <c r="C84" s="2"/>
      <c r="D84" s="2"/>
      <c r="E84" s="2">
        <v>10156548.25</v>
      </c>
      <c r="F84" s="2">
        <v>8858996.9299999997</v>
      </c>
      <c r="G84" s="2">
        <f>317.3+10868571.22</f>
        <v>10868888.520000001</v>
      </c>
      <c r="H84" s="2">
        <f>10199734.22+317.3</f>
        <v>10200051.520000001</v>
      </c>
      <c r="I84" s="2">
        <f>317.3+9400193.22</f>
        <v>9400510.5200000014</v>
      </c>
      <c r="J84" s="2">
        <f>317.3+8729105.22</f>
        <v>8729422.5200000014</v>
      </c>
      <c r="K84" s="2">
        <f>317.3+8959341.22</f>
        <v>8959658.5200000014</v>
      </c>
      <c r="L84" s="2">
        <f>317.3+8959341.22</f>
        <v>8959658.5200000014</v>
      </c>
      <c r="M84" s="2">
        <v>9641398.0299999993</v>
      </c>
      <c r="N84" s="2">
        <v>9641398.0299999993</v>
      </c>
      <c r="O84" s="2">
        <f>9367894.06</f>
        <v>9367894.0600000005</v>
      </c>
      <c r="P84" s="2">
        <f>9367894.06</f>
        <v>9367894.0600000005</v>
      </c>
      <c r="Q84" s="2">
        <f>9367894.06</f>
        <v>9367894.0600000005</v>
      </c>
      <c r="R84" s="2">
        <v>9865070.0600000005</v>
      </c>
      <c r="S84" s="2">
        <v>10331413.810000001</v>
      </c>
      <c r="T84" s="2">
        <v>10331413.810000001</v>
      </c>
      <c r="U84" s="2">
        <v>9319334.8100000005</v>
      </c>
      <c r="V84" s="2">
        <v>9319334.8100000005</v>
      </c>
      <c r="W84" s="2">
        <f>9337671.09</f>
        <v>9337671.0899999999</v>
      </c>
      <c r="X84" s="2">
        <v>9337671.0899999999</v>
      </c>
      <c r="Y84" s="2">
        <v>11178667.26</v>
      </c>
      <c r="Z84" s="2">
        <v>10089361.619999999</v>
      </c>
      <c r="AA84" s="16">
        <f>41557.97+1353152.71</f>
        <v>1394710.68</v>
      </c>
      <c r="AB84" s="16"/>
      <c r="AC84" s="16">
        <f>79834.83+2444326.98</f>
        <v>2524161.81</v>
      </c>
      <c r="AD84" s="16">
        <v>1451371.96</v>
      </c>
      <c r="AE84" s="16">
        <v>497002</v>
      </c>
      <c r="AF84" s="16"/>
      <c r="AG84" s="16">
        <v>495074</v>
      </c>
      <c r="AH84" s="16"/>
      <c r="AI84" s="16"/>
      <c r="AJ84" s="16"/>
      <c r="AK84" s="16"/>
      <c r="AL84" s="16"/>
      <c r="AM84" s="23"/>
      <c r="AN84" s="23"/>
      <c r="AO84" s="23"/>
      <c r="AP84" s="23"/>
      <c r="AQ84" s="13"/>
      <c r="AR84" s="13"/>
      <c r="AS84" s="13"/>
      <c r="AT84" s="13"/>
      <c r="AU84" s="30"/>
      <c r="AV84" s="30"/>
    </row>
    <row r="85" spans="1:48">
      <c r="A85" s="127" t="s">
        <v>14</v>
      </c>
      <c r="B85" s="128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>
        <v>31333.33</v>
      </c>
      <c r="P85" s="2"/>
      <c r="Q85" s="2">
        <v>31999.99</v>
      </c>
      <c r="R85" s="2"/>
      <c r="S85" s="2"/>
      <c r="T85" s="2"/>
      <c r="U85" s="2"/>
      <c r="V85" s="2"/>
      <c r="W85" s="2"/>
      <c r="X85" s="2"/>
      <c r="Y85" s="2">
        <v>134475.21</v>
      </c>
      <c r="Z85" s="2">
        <v>134475.21</v>
      </c>
      <c r="AA85" s="16">
        <v>747720.56</v>
      </c>
      <c r="AB85" s="16">
        <v>747720.56</v>
      </c>
      <c r="AC85" s="16">
        <v>1581975.05</v>
      </c>
      <c r="AD85" s="16">
        <v>1581975.05</v>
      </c>
      <c r="AE85" s="16">
        <v>1823168.82</v>
      </c>
      <c r="AF85" s="16"/>
      <c r="AG85" s="16">
        <v>1823168.82</v>
      </c>
      <c r="AH85" s="16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30"/>
      <c r="AV85" s="30"/>
    </row>
    <row r="86" spans="1:48" hidden="1">
      <c r="A86" s="139" t="s">
        <v>4</v>
      </c>
      <c r="B86" s="140"/>
      <c r="C86" s="138">
        <v>654159.29</v>
      </c>
      <c r="D86" s="138">
        <f>SUM(D88:D92)</f>
        <v>0</v>
      </c>
      <c r="E86" s="138">
        <f t="shared" ref="E86:Z86" si="29">SUM(E88:E92)</f>
        <v>159427.71</v>
      </c>
      <c r="F86" s="138">
        <f t="shared" si="29"/>
        <v>156150</v>
      </c>
      <c r="G86" s="138">
        <f t="shared" si="29"/>
        <v>166323.26</v>
      </c>
      <c r="H86" s="138">
        <f t="shared" si="29"/>
        <v>156150</v>
      </c>
      <c r="I86" s="138">
        <f t="shared" si="29"/>
        <v>158187.54</v>
      </c>
      <c r="J86" s="138">
        <f t="shared" si="29"/>
        <v>156150</v>
      </c>
      <c r="K86" s="138">
        <f t="shared" si="29"/>
        <v>157389.10999999999</v>
      </c>
      <c r="L86" s="138">
        <f t="shared" si="29"/>
        <v>156150</v>
      </c>
      <c r="M86" s="138">
        <f t="shared" si="29"/>
        <v>162310.56</v>
      </c>
      <c r="N86" s="138">
        <f t="shared" si="29"/>
        <v>156150</v>
      </c>
      <c r="O86" s="138">
        <f t="shared" si="29"/>
        <v>158206.72</v>
      </c>
      <c r="P86" s="138">
        <f t="shared" si="29"/>
        <v>156150</v>
      </c>
      <c r="Q86" s="138">
        <f t="shared" si="29"/>
        <v>162910.32999999999</v>
      </c>
      <c r="R86" s="138">
        <f t="shared" si="29"/>
        <v>156150</v>
      </c>
      <c r="S86" s="138">
        <f t="shared" si="29"/>
        <v>159608.60999999999</v>
      </c>
      <c r="T86" s="138">
        <f t="shared" si="29"/>
        <v>156150</v>
      </c>
      <c r="U86" s="138">
        <f t="shared" si="29"/>
        <v>157986.35</v>
      </c>
      <c r="V86" s="138">
        <f t="shared" si="29"/>
        <v>156150</v>
      </c>
      <c r="W86" s="138">
        <f t="shared" si="29"/>
        <v>159926.9</v>
      </c>
      <c r="X86" s="138">
        <f t="shared" si="29"/>
        <v>156150</v>
      </c>
      <c r="Y86" s="138">
        <f t="shared" si="29"/>
        <v>0</v>
      </c>
      <c r="Z86" s="138">
        <f t="shared" si="29"/>
        <v>0</v>
      </c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152">
        <f>Y86/E86-1</f>
        <v>-1</v>
      </c>
      <c r="AV86" s="152">
        <f>Z86/F86-1</f>
        <v>-1</v>
      </c>
    </row>
    <row r="87" spans="1:48" hidden="1">
      <c r="A87" s="141"/>
      <c r="B87" s="142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153"/>
      <c r="AV87" s="153"/>
    </row>
    <row r="88" spans="1:48" hidden="1">
      <c r="A88" s="127" t="s">
        <v>10</v>
      </c>
      <c r="B88" s="128"/>
      <c r="C88" s="2"/>
      <c r="D88" s="2"/>
      <c r="E88" s="2">
        <v>2936.71</v>
      </c>
      <c r="F88" s="2"/>
      <c r="G88" s="2">
        <v>10173.26</v>
      </c>
      <c r="H88" s="2"/>
      <c r="I88" s="2">
        <v>2037.54</v>
      </c>
      <c r="J88" s="2"/>
      <c r="K88" s="2">
        <v>1239.1099999999999</v>
      </c>
      <c r="L88" s="2"/>
      <c r="M88" s="2">
        <v>6160.56</v>
      </c>
      <c r="N88" s="2"/>
      <c r="O88" s="2">
        <v>2056.7199999999998</v>
      </c>
      <c r="P88" s="2"/>
      <c r="Q88" s="2">
        <v>4968.33</v>
      </c>
      <c r="R88" s="2"/>
      <c r="S88" s="2">
        <v>3458.61</v>
      </c>
      <c r="T88" s="2"/>
      <c r="U88" s="2">
        <v>1836.35</v>
      </c>
      <c r="V88" s="2"/>
      <c r="W88" s="2">
        <v>3776.9</v>
      </c>
      <c r="X88" s="2"/>
      <c r="Y88" s="2"/>
      <c r="Z88" s="2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30"/>
      <c r="AV88" s="30"/>
    </row>
    <row r="89" spans="1:48" hidden="1">
      <c r="A89" s="127" t="s">
        <v>7</v>
      </c>
      <c r="B89" s="128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30"/>
      <c r="AV89" s="30"/>
    </row>
    <row r="90" spans="1:48" hidden="1">
      <c r="A90" s="127" t="s">
        <v>8</v>
      </c>
      <c r="B90" s="128"/>
      <c r="C90" s="2"/>
      <c r="D90" s="2"/>
      <c r="E90" s="2">
        <v>-10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30"/>
      <c r="AV90" s="30"/>
    </row>
    <row r="91" spans="1:48" hidden="1">
      <c r="A91" s="127" t="s">
        <v>9</v>
      </c>
      <c r="B91" s="128"/>
      <c r="C91" s="2"/>
      <c r="D91" s="2"/>
      <c r="E91" s="2">
        <v>351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>
        <v>1792</v>
      </c>
      <c r="R91" s="2"/>
      <c r="S91" s="2"/>
      <c r="T91" s="2"/>
      <c r="U91" s="2"/>
      <c r="V91" s="2"/>
      <c r="W91" s="2"/>
      <c r="X91" s="2"/>
      <c r="Y91" s="2"/>
      <c r="Z91" s="2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30"/>
      <c r="AV91" s="30"/>
    </row>
    <row r="92" spans="1:48" hidden="1">
      <c r="A92" s="127" t="s">
        <v>14</v>
      </c>
      <c r="B92" s="128"/>
      <c r="C92" s="2"/>
      <c r="D92" s="2"/>
      <c r="E92" s="2">
        <v>156150</v>
      </c>
      <c r="F92" s="2">
        <v>156150</v>
      </c>
      <c r="G92" s="2">
        <v>156150</v>
      </c>
      <c r="H92" s="2">
        <v>156150</v>
      </c>
      <c r="I92" s="2">
        <v>156150</v>
      </c>
      <c r="J92" s="2">
        <v>156150</v>
      </c>
      <c r="K92" s="2">
        <v>156150</v>
      </c>
      <c r="L92" s="2">
        <v>156150</v>
      </c>
      <c r="M92" s="2">
        <v>156150</v>
      </c>
      <c r="N92" s="2">
        <v>156150</v>
      </c>
      <c r="O92" s="2">
        <v>156150</v>
      </c>
      <c r="P92" s="2">
        <v>156150</v>
      </c>
      <c r="Q92" s="2">
        <v>156150</v>
      </c>
      <c r="R92" s="2">
        <v>156150</v>
      </c>
      <c r="S92" s="2">
        <v>156150</v>
      </c>
      <c r="T92" s="2">
        <v>156150</v>
      </c>
      <c r="U92" s="2">
        <v>156150</v>
      </c>
      <c r="V92" s="2">
        <v>156150</v>
      </c>
      <c r="W92" s="2">
        <v>156150</v>
      </c>
      <c r="X92" s="2">
        <v>156150</v>
      </c>
      <c r="Y92" s="2">
        <v>0</v>
      </c>
      <c r="Z92" s="2">
        <v>0</v>
      </c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30"/>
      <c r="AV92" s="30"/>
    </row>
    <row r="93" spans="1:48" ht="14.4" hidden="1" customHeight="1">
      <c r="A93" s="139" t="s">
        <v>15</v>
      </c>
      <c r="B93" s="140"/>
      <c r="C93" s="119">
        <v>10829169.880000001</v>
      </c>
      <c r="D93" s="119">
        <f>1640975.89+2975186.97+988391.8</f>
        <v>5604554.6600000001</v>
      </c>
      <c r="E93" s="119">
        <f>SUM(E95:E99)</f>
        <v>6197764.7700000005</v>
      </c>
      <c r="F93" s="119">
        <f>SUM(F95:F99)</f>
        <v>3749667.49</v>
      </c>
      <c r="G93" s="119">
        <f t="shared" ref="G93:AD93" si="30">SUM(G95:G99)</f>
        <v>6852948.2799999993</v>
      </c>
      <c r="H93" s="119">
        <f t="shared" si="30"/>
        <v>3749667.49</v>
      </c>
      <c r="I93" s="119">
        <f t="shared" si="30"/>
        <v>5929212.6499999994</v>
      </c>
      <c r="J93" s="119">
        <f t="shared" si="30"/>
        <v>2974471.0500000003</v>
      </c>
      <c r="K93" s="119">
        <f t="shared" si="30"/>
        <v>7559967.5599999996</v>
      </c>
      <c r="L93" s="119">
        <f t="shared" si="30"/>
        <v>2974471.0500000003</v>
      </c>
      <c r="M93" s="119">
        <f t="shared" si="30"/>
        <v>6930316.6799999997</v>
      </c>
      <c r="N93" s="119">
        <f t="shared" si="30"/>
        <v>4894294.6399999997</v>
      </c>
      <c r="O93" s="119">
        <f t="shared" si="30"/>
        <v>7219255.4799999995</v>
      </c>
      <c r="P93" s="119">
        <f t="shared" si="30"/>
        <v>4894294.6399999997</v>
      </c>
      <c r="Q93" s="119">
        <f t="shared" si="30"/>
        <v>9600917.8499999996</v>
      </c>
      <c r="R93" s="119">
        <f t="shared" si="30"/>
        <v>4651292.82</v>
      </c>
      <c r="S93" s="119">
        <f t="shared" si="30"/>
        <v>8525632.5199999996</v>
      </c>
      <c r="T93" s="119">
        <f t="shared" si="30"/>
        <v>4005766.16</v>
      </c>
      <c r="U93" s="119">
        <f t="shared" si="30"/>
        <v>10599393.380000001</v>
      </c>
      <c r="V93" s="119">
        <f t="shared" si="30"/>
        <v>1496363.55</v>
      </c>
      <c r="W93" s="119">
        <f t="shared" si="30"/>
        <v>20377243.73</v>
      </c>
      <c r="X93" s="119">
        <f t="shared" si="30"/>
        <v>1496363.55</v>
      </c>
      <c r="Y93" s="119">
        <f t="shared" si="30"/>
        <v>20412653.610000003</v>
      </c>
      <c r="Z93" s="119">
        <f t="shared" si="30"/>
        <v>13308419.82</v>
      </c>
      <c r="AA93" s="131">
        <f t="shared" si="30"/>
        <v>54055934.440000005</v>
      </c>
      <c r="AB93" s="131">
        <f t="shared" si="30"/>
        <v>17697811.539999999</v>
      </c>
      <c r="AC93" s="131">
        <f t="shared" si="30"/>
        <v>61418098.109999999</v>
      </c>
      <c r="AD93" s="131">
        <f t="shared" si="30"/>
        <v>39172056.890000001</v>
      </c>
      <c r="AE93" s="121">
        <f>AE95+AE96+AE97+AE98+AE99</f>
        <v>75253.62</v>
      </c>
      <c r="AF93" s="121">
        <v>0</v>
      </c>
      <c r="AG93" s="121">
        <v>0</v>
      </c>
      <c r="AH93" s="121">
        <v>0</v>
      </c>
      <c r="AI93" s="121">
        <f t="shared" ref="AI93:AP93" si="31">AI95+AI96+AI97+AI98+AI99</f>
        <v>0</v>
      </c>
      <c r="AJ93" s="121">
        <f t="shared" si="31"/>
        <v>0</v>
      </c>
      <c r="AK93" s="121">
        <f t="shared" si="31"/>
        <v>0</v>
      </c>
      <c r="AL93" s="121">
        <f t="shared" si="31"/>
        <v>0</v>
      </c>
      <c r="AM93" s="154">
        <f t="shared" si="31"/>
        <v>0</v>
      </c>
      <c r="AN93" s="154">
        <f t="shared" si="31"/>
        <v>0</v>
      </c>
      <c r="AO93" s="154">
        <f t="shared" si="31"/>
        <v>0</v>
      </c>
      <c r="AP93" s="154">
        <f t="shared" si="31"/>
        <v>0</v>
      </c>
      <c r="AQ93" s="47"/>
      <c r="AR93" s="47"/>
      <c r="AS93" s="47"/>
      <c r="AT93" s="47"/>
      <c r="AU93" s="152" t="e">
        <f>AM93/AI93-1</f>
        <v>#DIV/0!</v>
      </c>
      <c r="AV93" s="152" t="e">
        <f>AO93/AK93-1</f>
        <v>#DIV/0!</v>
      </c>
    </row>
    <row r="94" spans="1:48" ht="14.4" hidden="1" customHeight="1">
      <c r="A94" s="141"/>
      <c r="B94" s="142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32"/>
      <c r="AB94" s="132"/>
      <c r="AC94" s="132"/>
      <c r="AD94" s="132"/>
      <c r="AE94" s="122"/>
      <c r="AF94" s="122"/>
      <c r="AG94" s="122"/>
      <c r="AH94" s="122"/>
      <c r="AI94" s="122"/>
      <c r="AJ94" s="122"/>
      <c r="AK94" s="122"/>
      <c r="AL94" s="122"/>
      <c r="AM94" s="155"/>
      <c r="AN94" s="155"/>
      <c r="AO94" s="155"/>
      <c r="AP94" s="155"/>
      <c r="AQ94" s="48"/>
      <c r="AR94" s="48"/>
      <c r="AS94" s="48"/>
      <c r="AT94" s="48"/>
      <c r="AU94" s="153"/>
      <c r="AV94" s="153"/>
    </row>
    <row r="95" spans="1:48" hidden="1">
      <c r="A95" s="127" t="s">
        <v>10</v>
      </c>
      <c r="B95" s="128"/>
      <c r="C95" s="1"/>
      <c r="D95" s="1"/>
      <c r="E95" s="1">
        <v>6195284.0800000001</v>
      </c>
      <c r="F95" s="1">
        <f>3363056.56+386610.93</f>
        <v>3749667.49</v>
      </c>
      <c r="G95" s="1">
        <f>2263909.36+4559378.25</f>
        <v>6823287.6099999994</v>
      </c>
      <c r="H95" s="1">
        <f>386610.93+3363056.56</f>
        <v>3749667.49</v>
      </c>
      <c r="I95" s="1">
        <f>1799893.76+4099496.79</f>
        <v>5899390.5499999998</v>
      </c>
      <c r="J95" s="1">
        <f>386610.93+2587860.12</f>
        <v>2974471.0500000003</v>
      </c>
      <c r="K95" s="1">
        <f>5416106.16+2141154.26+1386.18+1320.96</f>
        <v>7559967.5599999996</v>
      </c>
      <c r="L95" s="1">
        <f>2587860.12+386610.93</f>
        <v>2974471.0500000003</v>
      </c>
      <c r="M95" s="1">
        <v>6930316.6799999997</v>
      </c>
      <c r="N95" s="1">
        <v>4894294.6399999997</v>
      </c>
      <c r="O95" s="1">
        <f>1865798.47+5348998.75</f>
        <v>7214797.2199999997</v>
      </c>
      <c r="P95" s="1">
        <f>386610.93+4507683.71</f>
        <v>4894294.6399999997</v>
      </c>
      <c r="Q95" s="1">
        <v>9600917.8499999996</v>
      </c>
      <c r="R95" s="1">
        <v>4651292.82</v>
      </c>
      <c r="S95" s="1">
        <f>2951333.92+5555295.68+15251.76+3751.16</f>
        <v>8525632.5199999996</v>
      </c>
      <c r="T95" s="1">
        <f>3619155.23+386610.93</f>
        <v>4005766.16</v>
      </c>
      <c r="U95" s="1">
        <f>1992205.58+8591549.02+5323.15+10315.63</f>
        <v>10599393.380000001</v>
      </c>
      <c r="V95" s="1">
        <f>1109752.62+386610.93</f>
        <v>1496363.55</v>
      </c>
      <c r="W95" s="1">
        <f>10545735.23+9823125.67+3422.46+4960.37</f>
        <v>20377243.73</v>
      </c>
      <c r="X95" s="1">
        <f>386610.93+1109752.62</f>
        <v>1496363.55</v>
      </c>
      <c r="Y95" s="1">
        <v>20441640.960000001</v>
      </c>
      <c r="Z95" s="1">
        <v>13308419.82</v>
      </c>
      <c r="AA95" s="19">
        <f>33166250.55+116.03+20185020.65+10333.24-153588.27</f>
        <v>53208132.200000003</v>
      </c>
      <c r="AB95" s="19">
        <f>17535000.48+162811.06-153588.27</f>
        <v>17544223.27</v>
      </c>
      <c r="AC95" s="19">
        <f>44014737.97+19482.3+16465957.71</f>
        <v>60500177.979999997</v>
      </c>
      <c r="AD95" s="19">
        <f>29503554.98+9668501.91</f>
        <v>39172056.890000001</v>
      </c>
      <c r="AE95" s="19">
        <v>75253.62</v>
      </c>
      <c r="AF95" s="19">
        <v>0</v>
      </c>
      <c r="AG95" s="19">
        <v>0</v>
      </c>
      <c r="AH95" s="19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34"/>
      <c r="AV95" s="34"/>
    </row>
    <row r="96" spans="1:48" hidden="1">
      <c r="A96" s="127" t="s">
        <v>7</v>
      </c>
      <c r="B96" s="128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9">
        <f>174701.03+239873.77</f>
        <v>414574.8</v>
      </c>
      <c r="AB96" s="19"/>
      <c r="AC96" s="19">
        <f>340113.75+6309.58+298211.41</f>
        <v>644634.74</v>
      </c>
      <c r="AD96" s="19"/>
      <c r="AE96" s="19"/>
      <c r="AF96" s="19"/>
      <c r="AG96" s="19"/>
      <c r="AH96" s="19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34"/>
      <c r="AV96" s="34"/>
    </row>
    <row r="97" spans="1:49" hidden="1">
      <c r="A97" s="127" t="s">
        <v>8</v>
      </c>
      <c r="B97" s="128"/>
      <c r="C97" s="1"/>
      <c r="D97" s="1"/>
      <c r="E97" s="1"/>
      <c r="F97" s="1"/>
      <c r="G97" s="1">
        <v>-0.01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9">
        <v>150004.17000000001</v>
      </c>
      <c r="AB97" s="19"/>
      <c r="AC97" s="19">
        <f>218911.42+53273.97</f>
        <v>272185.39</v>
      </c>
      <c r="AD97" s="19"/>
      <c r="AE97" s="19"/>
      <c r="AF97" s="19"/>
      <c r="AG97" s="19"/>
      <c r="AH97" s="19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34"/>
      <c r="AV97" s="34"/>
    </row>
    <row r="98" spans="1:49" hidden="1">
      <c r="A98" s="127" t="s">
        <v>9</v>
      </c>
      <c r="B98" s="128"/>
      <c r="C98" s="1"/>
      <c r="D98" s="1"/>
      <c r="E98" s="1"/>
      <c r="F98" s="1"/>
      <c r="G98" s="1">
        <v>-67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>
        <v>-94199.79</v>
      </c>
      <c r="Z98" s="1"/>
      <c r="AA98" s="19">
        <f>129635</f>
        <v>129635</v>
      </c>
      <c r="AB98" s="19"/>
      <c r="AC98" s="19"/>
      <c r="AD98" s="19"/>
      <c r="AE98" s="19"/>
      <c r="AF98" s="19"/>
      <c r="AG98" s="19"/>
      <c r="AH98" s="19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34"/>
      <c r="AV98" s="34"/>
    </row>
    <row r="99" spans="1:49" hidden="1">
      <c r="A99" s="127" t="s">
        <v>14</v>
      </c>
      <c r="B99" s="128"/>
      <c r="C99" s="1"/>
      <c r="D99" s="1"/>
      <c r="E99" s="1">
        <v>2480.69</v>
      </c>
      <c r="F99" s="1"/>
      <c r="G99" s="1">
        <f>10138.57+19589.11</f>
        <v>29727.68</v>
      </c>
      <c r="H99" s="1"/>
      <c r="I99" s="1">
        <f>14183.88+15638.22</f>
        <v>29822.1</v>
      </c>
      <c r="J99" s="1"/>
      <c r="K99" s="1"/>
      <c r="L99" s="1"/>
      <c r="M99" s="1"/>
      <c r="N99" s="1"/>
      <c r="O99" s="1">
        <v>4458.26</v>
      </c>
      <c r="P99" s="1"/>
      <c r="Q99" s="1"/>
      <c r="R99" s="1"/>
      <c r="S99" s="1"/>
      <c r="T99" s="1"/>
      <c r="U99" s="1"/>
      <c r="V99" s="1"/>
      <c r="W99" s="1"/>
      <c r="X99" s="1"/>
      <c r="Y99" s="1">
        <v>65212.44</v>
      </c>
      <c r="Z99" s="1"/>
      <c r="AA99" s="19">
        <v>153588.26999999999</v>
      </c>
      <c r="AB99" s="19">
        <v>153588.26999999999</v>
      </c>
      <c r="AC99" s="19">
        <v>1100</v>
      </c>
      <c r="AD99" s="19"/>
      <c r="AE99" s="19"/>
      <c r="AF99" s="19"/>
      <c r="AG99" s="19"/>
      <c r="AH99" s="19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34"/>
      <c r="AV99" s="34"/>
    </row>
    <row r="100" spans="1:49">
      <c r="A100" s="139" t="s">
        <v>13</v>
      </c>
      <c r="B100" s="140"/>
      <c r="C100" s="138">
        <v>-1470.89</v>
      </c>
      <c r="D100" s="138">
        <f>SUM(D102:D106)</f>
        <v>0</v>
      </c>
      <c r="E100" s="138">
        <f t="shared" ref="E100:AB100" si="32">SUM(E102:E106)</f>
        <v>741.25</v>
      </c>
      <c r="F100" s="138">
        <f t="shared" si="32"/>
        <v>0</v>
      </c>
      <c r="G100" s="138">
        <f t="shared" si="32"/>
        <v>0</v>
      </c>
      <c r="H100" s="138">
        <f t="shared" si="32"/>
        <v>0</v>
      </c>
      <c r="I100" s="138">
        <f t="shared" si="32"/>
        <v>0</v>
      </c>
      <c r="J100" s="138">
        <f t="shared" si="32"/>
        <v>0</v>
      </c>
      <c r="K100" s="138">
        <f t="shared" si="32"/>
        <v>0</v>
      </c>
      <c r="L100" s="138">
        <f t="shared" si="32"/>
        <v>0</v>
      </c>
      <c r="M100" s="138">
        <f t="shared" si="32"/>
        <v>0</v>
      </c>
      <c r="N100" s="138">
        <f t="shared" si="32"/>
        <v>0</v>
      </c>
      <c r="O100" s="138">
        <f t="shared" si="32"/>
        <v>0</v>
      </c>
      <c r="P100" s="138">
        <f t="shared" si="32"/>
        <v>0</v>
      </c>
      <c r="Q100" s="138">
        <f t="shared" si="32"/>
        <v>0</v>
      </c>
      <c r="R100" s="138">
        <f t="shared" si="32"/>
        <v>0</v>
      </c>
      <c r="S100" s="138">
        <f t="shared" si="32"/>
        <v>0</v>
      </c>
      <c r="T100" s="138">
        <f t="shared" si="32"/>
        <v>0</v>
      </c>
      <c r="U100" s="138">
        <f t="shared" si="32"/>
        <v>0</v>
      </c>
      <c r="V100" s="138">
        <f t="shared" si="32"/>
        <v>0</v>
      </c>
      <c r="W100" s="138">
        <f t="shared" si="32"/>
        <v>0</v>
      </c>
      <c r="X100" s="138">
        <f t="shared" si="32"/>
        <v>0</v>
      </c>
      <c r="Y100" s="138">
        <f t="shared" si="32"/>
        <v>0</v>
      </c>
      <c r="Z100" s="138">
        <f t="shared" si="32"/>
        <v>0</v>
      </c>
      <c r="AA100" s="145">
        <f>AA102+AA103+AA104+AA105+AA106</f>
        <v>84248.31</v>
      </c>
      <c r="AB100" s="145">
        <f t="shared" si="32"/>
        <v>0</v>
      </c>
      <c r="AC100" s="145">
        <f>SUM(AC102:AC106)</f>
        <v>130082.92000000001</v>
      </c>
      <c r="AD100" s="145">
        <f>SUM(AD102:AD106)</f>
        <v>0</v>
      </c>
      <c r="AE100" s="125">
        <f t="shared" ref="AE100:AP100" si="33">AE102+AE103+AE104+AE105+AE106</f>
        <v>45365.68</v>
      </c>
      <c r="AF100" s="125">
        <f t="shared" si="33"/>
        <v>0</v>
      </c>
      <c r="AG100" s="125">
        <v>0</v>
      </c>
      <c r="AH100" s="125">
        <f t="shared" si="33"/>
        <v>0</v>
      </c>
      <c r="AI100" s="125">
        <f t="shared" si="33"/>
        <v>0</v>
      </c>
      <c r="AJ100" s="125">
        <f t="shared" si="33"/>
        <v>0</v>
      </c>
      <c r="AK100" s="125">
        <f t="shared" si="33"/>
        <v>0</v>
      </c>
      <c r="AL100" s="125">
        <f t="shared" si="33"/>
        <v>0</v>
      </c>
      <c r="AM100" s="125">
        <f t="shared" si="33"/>
        <v>0</v>
      </c>
      <c r="AN100" s="125">
        <f t="shared" si="33"/>
        <v>0</v>
      </c>
      <c r="AO100" s="125">
        <f t="shared" si="33"/>
        <v>0</v>
      </c>
      <c r="AP100" s="125">
        <f t="shared" si="33"/>
        <v>0</v>
      </c>
      <c r="AQ100" s="150">
        <f t="shared" ref="AQ100:AT100" si="34">AQ102+AQ103+AQ104+AQ105+AQ106</f>
        <v>90729.76999999999</v>
      </c>
      <c r="AR100" s="150">
        <f t="shared" si="34"/>
        <v>0</v>
      </c>
      <c r="AS100" s="150">
        <f t="shared" si="34"/>
        <v>0</v>
      </c>
      <c r="AT100" s="150">
        <f t="shared" si="34"/>
        <v>0</v>
      </c>
      <c r="AU100" s="143" t="e">
        <f>AQ100/AM100-1</f>
        <v>#DIV/0!</v>
      </c>
      <c r="AV100" s="143" t="e">
        <f>AS100/AO100-1</f>
        <v>#DIV/0!</v>
      </c>
    </row>
    <row r="101" spans="1:49">
      <c r="A101" s="141"/>
      <c r="B101" s="142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32"/>
      <c r="AB101" s="132"/>
      <c r="AC101" s="158"/>
      <c r="AD101" s="132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51"/>
      <c r="AR101" s="151"/>
      <c r="AS101" s="151"/>
      <c r="AT101" s="151"/>
      <c r="AU101" s="144"/>
      <c r="AV101" s="144"/>
    </row>
    <row r="102" spans="1:49" ht="45" customHeight="1">
      <c r="A102" s="127" t="s">
        <v>10</v>
      </c>
      <c r="B102" s="128"/>
      <c r="C102" s="2"/>
      <c r="D102" s="2"/>
      <c r="E102" s="2">
        <v>741.25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16"/>
      <c r="AB102" s="16"/>
      <c r="AC102" s="16">
        <v>5034.4399999999996</v>
      </c>
      <c r="AD102" s="13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23"/>
      <c r="AR102" s="23"/>
      <c r="AS102" s="23"/>
      <c r="AT102" s="23"/>
      <c r="AU102" s="17"/>
      <c r="AV102" s="17"/>
    </row>
    <row r="103" spans="1:49">
      <c r="A103" s="127" t="s">
        <v>7</v>
      </c>
      <c r="B103" s="128"/>
      <c r="C103" s="2"/>
      <c r="D103" s="2"/>
      <c r="E103" s="2">
        <v>0</v>
      </c>
      <c r="F103" s="2">
        <v>0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16">
        <v>53091.66</v>
      </c>
      <c r="AB103" s="16"/>
      <c r="AC103" s="16">
        <v>81730</v>
      </c>
      <c r="AD103" s="13"/>
      <c r="AE103" s="16">
        <v>28290.47</v>
      </c>
      <c r="AF103" s="16"/>
      <c r="AG103" s="16"/>
      <c r="AH103" s="16"/>
      <c r="AI103" s="13"/>
      <c r="AJ103" s="13"/>
      <c r="AK103" s="13"/>
      <c r="AL103" s="13"/>
      <c r="AM103" s="16"/>
      <c r="AN103" s="16"/>
      <c r="AO103" s="16"/>
      <c r="AP103" s="16"/>
      <c r="AQ103" s="23">
        <v>61798.6</v>
      </c>
      <c r="AR103" s="23"/>
      <c r="AS103" s="23"/>
      <c r="AT103" s="23"/>
      <c r="AU103" s="17"/>
      <c r="AV103" s="17"/>
    </row>
    <row r="104" spans="1:49" ht="42.75" customHeight="1">
      <c r="A104" s="127" t="s">
        <v>8</v>
      </c>
      <c r="B104" s="128"/>
      <c r="C104" s="2"/>
      <c r="D104" s="2"/>
      <c r="E104" s="2">
        <v>0</v>
      </c>
      <c r="F104" s="2">
        <v>0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16">
        <v>31156.65</v>
      </c>
      <c r="AB104" s="16"/>
      <c r="AC104" s="16">
        <v>43318.48</v>
      </c>
      <c r="AD104" s="13"/>
      <c r="AE104" s="16">
        <v>17075.21</v>
      </c>
      <c r="AF104" s="16"/>
      <c r="AG104" s="16"/>
      <c r="AH104" s="16"/>
      <c r="AI104" s="13"/>
      <c r="AJ104" s="13"/>
      <c r="AK104" s="13"/>
      <c r="AL104" s="13"/>
      <c r="AM104" s="16"/>
      <c r="AN104" s="16"/>
      <c r="AO104" s="16"/>
      <c r="AP104" s="16"/>
      <c r="AQ104" s="23">
        <v>28931.17</v>
      </c>
      <c r="AR104" s="23"/>
      <c r="AS104" s="23"/>
      <c r="AT104" s="23"/>
      <c r="AU104" s="17"/>
      <c r="AV104" s="17"/>
    </row>
    <row r="105" spans="1:49">
      <c r="A105" s="127" t="s">
        <v>9</v>
      </c>
      <c r="B105" s="128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16"/>
      <c r="AB105" s="23"/>
      <c r="AC105" s="13"/>
      <c r="AD105" s="13"/>
      <c r="AE105" s="16"/>
      <c r="AF105" s="16"/>
      <c r="AG105" s="16"/>
      <c r="AH105" s="16"/>
      <c r="AI105" s="13"/>
      <c r="AJ105" s="13"/>
      <c r="AK105" s="13"/>
      <c r="AL105" s="13"/>
      <c r="AM105" s="16"/>
      <c r="AN105" s="16"/>
      <c r="AO105" s="16"/>
      <c r="AP105" s="16"/>
      <c r="AQ105" s="13"/>
      <c r="AR105" s="13"/>
      <c r="AS105" s="13"/>
      <c r="AT105" s="13"/>
      <c r="AU105" s="30"/>
      <c r="AV105" s="30"/>
    </row>
    <row r="106" spans="1:49">
      <c r="A106" s="127" t="s">
        <v>14</v>
      </c>
      <c r="B106" s="128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30"/>
      <c r="AV106" s="30"/>
    </row>
    <row r="107" spans="1:49" ht="57.6" hidden="1">
      <c r="A107" s="7" t="s">
        <v>22</v>
      </c>
      <c r="B107" s="7"/>
      <c r="C107" s="9">
        <v>3090165.46</v>
      </c>
      <c r="D107" s="9">
        <v>3090165.46</v>
      </c>
      <c r="E107" s="9">
        <f>SUM(E108:E110)</f>
        <v>0</v>
      </c>
      <c r="F107" s="9">
        <f>SUM(F108:F110)</f>
        <v>0</v>
      </c>
      <c r="G107" s="9">
        <f t="shared" ref="G107:Z107" si="35">SUM(G108:G110)</f>
        <v>0</v>
      </c>
      <c r="H107" s="9">
        <f t="shared" si="35"/>
        <v>0</v>
      </c>
      <c r="I107" s="9">
        <f t="shared" si="35"/>
        <v>0</v>
      </c>
      <c r="J107" s="9">
        <f t="shared" si="35"/>
        <v>0</v>
      </c>
      <c r="K107" s="9">
        <f t="shared" si="35"/>
        <v>0</v>
      </c>
      <c r="L107" s="9">
        <f t="shared" si="35"/>
        <v>0</v>
      </c>
      <c r="M107" s="9">
        <f t="shared" si="35"/>
        <v>0</v>
      </c>
      <c r="N107" s="9">
        <f t="shared" si="35"/>
        <v>0</v>
      </c>
      <c r="O107" s="9">
        <f t="shared" si="35"/>
        <v>0</v>
      </c>
      <c r="P107" s="9">
        <f t="shared" si="35"/>
        <v>0</v>
      </c>
      <c r="Q107" s="9">
        <f t="shared" si="35"/>
        <v>0</v>
      </c>
      <c r="R107" s="9">
        <f t="shared" si="35"/>
        <v>0</v>
      </c>
      <c r="S107" s="9">
        <f t="shared" si="35"/>
        <v>0</v>
      </c>
      <c r="T107" s="9">
        <f t="shared" si="35"/>
        <v>0</v>
      </c>
      <c r="U107" s="9">
        <f t="shared" si="35"/>
        <v>0</v>
      </c>
      <c r="V107" s="9">
        <f t="shared" si="35"/>
        <v>0</v>
      </c>
      <c r="W107" s="9">
        <f t="shared" si="35"/>
        <v>0</v>
      </c>
      <c r="X107" s="9">
        <f t="shared" si="35"/>
        <v>0</v>
      </c>
      <c r="Y107" s="9">
        <f t="shared" si="35"/>
        <v>0</v>
      </c>
      <c r="Z107" s="9">
        <f t="shared" si="35"/>
        <v>0</v>
      </c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152">
        <v>0</v>
      </c>
      <c r="AV107" s="152">
        <v>0</v>
      </c>
    </row>
    <row r="108" spans="1:49" hidden="1">
      <c r="A108" s="127" t="s">
        <v>9</v>
      </c>
      <c r="B108" s="156"/>
      <c r="C108" s="2"/>
      <c r="D108" s="2"/>
      <c r="E108" s="2"/>
      <c r="F108" s="2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13"/>
      <c r="AB108" s="13"/>
      <c r="AC108" s="13"/>
      <c r="AD108" s="13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153"/>
      <c r="AV108" s="153"/>
    </row>
    <row r="109" spans="1:49" hidden="1">
      <c r="A109" s="157" t="s">
        <v>21</v>
      </c>
      <c r="B109" s="156"/>
      <c r="C109" s="9">
        <f>4008760.53+5844431.63+14283.75+179317.37</f>
        <v>10046793.279999999</v>
      </c>
      <c r="D109" s="9">
        <f>989699.04+1910943.77</f>
        <v>2900642.81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31"/>
      <c r="AV109" s="31"/>
    </row>
    <row r="110" spans="1:49" hidden="1">
      <c r="A110" s="8"/>
      <c r="B110" s="8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30"/>
      <c r="AV110" s="30"/>
    </row>
    <row r="111" spans="1:49">
      <c r="A111" s="157" t="s">
        <v>11</v>
      </c>
      <c r="B111" s="156"/>
      <c r="C111" s="10">
        <f>C8+C51+C58+C65+C72+C79+C86+C93+C100+C107+C109</f>
        <v>94587677.819999993</v>
      </c>
      <c r="D111" s="10">
        <f>D8+D51+D58+D65+D72+D79+D86+D93+D100+D107+D109</f>
        <v>68008770.719999999</v>
      </c>
      <c r="E111" s="10">
        <f t="shared" ref="E111:AD111" si="36">E8+E51+E58+E65+E72+E79+E86+E93+E100+E107</f>
        <v>85864729.75999999</v>
      </c>
      <c r="F111" s="10">
        <f t="shared" si="36"/>
        <v>66510808.209999993</v>
      </c>
      <c r="G111" s="10">
        <f t="shared" si="36"/>
        <v>93511066.090000018</v>
      </c>
      <c r="H111" s="10">
        <f t="shared" si="36"/>
        <v>66963948.660000004</v>
      </c>
      <c r="I111" s="10">
        <f t="shared" si="36"/>
        <v>92440148.88000001</v>
      </c>
      <c r="J111" s="10">
        <f t="shared" si="36"/>
        <v>69371696.100000009</v>
      </c>
      <c r="K111" s="10">
        <f t="shared" si="36"/>
        <v>93692017.959999993</v>
      </c>
      <c r="L111" s="10">
        <f t="shared" si="36"/>
        <v>72494645.030000001</v>
      </c>
      <c r="M111" s="10">
        <f t="shared" si="36"/>
        <v>95350288.340000004</v>
      </c>
      <c r="N111" s="10">
        <f t="shared" si="36"/>
        <v>74699098.340000004</v>
      </c>
      <c r="O111" s="10">
        <f t="shared" si="36"/>
        <v>92952938.269999996</v>
      </c>
      <c r="P111" s="10">
        <f t="shared" si="36"/>
        <v>82357876.220000014</v>
      </c>
      <c r="Q111" s="10">
        <f t="shared" si="36"/>
        <v>97449531.209999979</v>
      </c>
      <c r="R111" s="10">
        <f t="shared" si="36"/>
        <v>74441297.569999993</v>
      </c>
      <c r="S111" s="10">
        <f t="shared" si="36"/>
        <v>96755275.489999995</v>
      </c>
      <c r="T111" s="10">
        <f t="shared" si="36"/>
        <v>74719949.890000001</v>
      </c>
      <c r="U111" s="10">
        <f t="shared" si="36"/>
        <v>97352731.719999984</v>
      </c>
      <c r="V111" s="10">
        <f t="shared" si="36"/>
        <v>74918061.669999987</v>
      </c>
      <c r="W111" s="10">
        <f t="shared" si="36"/>
        <v>103431682.53</v>
      </c>
      <c r="X111" s="10">
        <f t="shared" si="36"/>
        <v>71550048.36999999</v>
      </c>
      <c r="Y111" s="10">
        <f t="shared" si="36"/>
        <v>139512827.16999999</v>
      </c>
      <c r="Z111" s="10">
        <f t="shared" si="36"/>
        <v>116277638.82999998</v>
      </c>
      <c r="AA111" s="20">
        <f t="shared" si="36"/>
        <v>136792938.08000001</v>
      </c>
      <c r="AB111" s="20">
        <f t="shared" si="36"/>
        <v>43344897.469999999</v>
      </c>
      <c r="AC111" s="20">
        <f t="shared" si="36"/>
        <v>211086618.58000001</v>
      </c>
      <c r="AD111" s="20">
        <f t="shared" si="36"/>
        <v>119975047.31999999</v>
      </c>
      <c r="AE111" s="20">
        <f t="shared" ref="AE111:AH111" si="37">AE8+AE51+AE58+AE65+AE72+AE79+AE93+AE100</f>
        <v>128946217.90000001</v>
      </c>
      <c r="AF111" s="20">
        <f t="shared" si="37"/>
        <v>32163242.649999999</v>
      </c>
      <c r="AG111" s="20">
        <f t="shared" si="37"/>
        <v>14429840.109999999</v>
      </c>
      <c r="AH111" s="20">
        <f t="shared" si="37"/>
        <v>0</v>
      </c>
      <c r="AI111" s="42">
        <f>AI8+AI51+AI58+AI65+AI72+AI79+AI93+AI100+AI21+AI27+AI33</f>
        <v>110206071.34</v>
      </c>
      <c r="AJ111" s="42">
        <f>AJ8+AJ51+AJ58+AJ65+AJ72+AJ79+AJ93+AJ100+AJ21+AJ27+AJ33</f>
        <v>26197666.589999996</v>
      </c>
      <c r="AK111" s="42">
        <f>AK8+AK51+AK58+AK65+AK72+AK79+AK93+AK100+AK21+AK27+AK33</f>
        <v>952355</v>
      </c>
      <c r="AL111" s="42">
        <f>AL8+AL51+AL58+AL65+AL72+AL79+AL93+AL100+AL21+AL27+AL33</f>
        <v>571235</v>
      </c>
      <c r="AM111" s="45">
        <f>AM8+AM51+AM58+AM65+AM72+AM79+AM93+AM100+AM21+AM27+AM33+AM39</f>
        <v>80776546.540000007</v>
      </c>
      <c r="AN111" s="45">
        <f>AN8+AN51+AN58+AN65+AN72+AN79+AN93+AN100+AN21+AN27+AN33+AN39+AN15</f>
        <v>35099528.390000001</v>
      </c>
      <c r="AO111" s="45">
        <f>AO8+AO51+AO58+AO65+AO72+AO79+AO93+AO100+AO21+AO27+AO33+AO15+AO39</f>
        <v>0</v>
      </c>
      <c r="AP111" s="45">
        <f>AP8+AP51+AP58+AP65+AP72+AP79+AP93+AP100+AP21+AP27+AP33+AP15+AP39</f>
        <v>0</v>
      </c>
      <c r="AQ111" s="50">
        <f>AQ8+AQ51+AQ58+AQ65+AQ72+AQ79+AQ93+AQ100+AQ21+AQ27+AQ33+AQ39</f>
        <v>128312222.10999997</v>
      </c>
      <c r="AR111" s="57">
        <f>AR8+AR51+AR58+AR65+AR72+AR79+AR93+AR100+AR21+AR27+AR33+AR39</f>
        <v>54434813.850000001</v>
      </c>
      <c r="AS111" s="50">
        <f>AS8+AS51+AS58+AS65+AS72+AS79+AS93+AS100+AS21+AS27+AS33+AS15+AS39</f>
        <v>7551208.0300000003</v>
      </c>
      <c r="AT111" s="50">
        <f>AT8+AT51+AT58+AT65+AT72+AT79+AT93+AT100+AT21+AT27+AT33+AT15+AT39</f>
        <v>7551208.0300000003</v>
      </c>
      <c r="AU111" s="58">
        <f>AQ111/AM111-1</f>
        <v>0.58848363301172602</v>
      </c>
      <c r="AV111" s="58" t="e">
        <f>AS111/AO111-1</f>
        <v>#DIV/0!</v>
      </c>
      <c r="AW111" s="44"/>
    </row>
    <row r="112" spans="1:49" ht="46.5" customHeight="1">
      <c r="A112" s="127" t="s">
        <v>10</v>
      </c>
      <c r="B112" s="156"/>
      <c r="C112" s="2">
        <f t="shared" ref="C112:AD116" si="38">C10+C53+C60+C67+C74+C81+C88+C95+C102</f>
        <v>0</v>
      </c>
      <c r="D112" s="2">
        <f t="shared" si="38"/>
        <v>0</v>
      </c>
      <c r="E112" s="2">
        <f t="shared" si="38"/>
        <v>17953226.410000004</v>
      </c>
      <c r="F112" s="2">
        <f t="shared" si="38"/>
        <v>6382951.8399999943</v>
      </c>
      <c r="G112" s="2">
        <f t="shared" si="38"/>
        <v>19216097.170000002</v>
      </c>
      <c r="H112" s="2">
        <f t="shared" si="38"/>
        <v>6555841.7200000007</v>
      </c>
      <c r="I112" s="2">
        <f t="shared" si="38"/>
        <v>22865503.460000001</v>
      </c>
      <c r="J112" s="2">
        <f t="shared" si="38"/>
        <v>5864947.9199999999</v>
      </c>
      <c r="K112" s="2">
        <f t="shared" si="38"/>
        <v>17090632.079999998</v>
      </c>
      <c r="L112" s="2">
        <f t="shared" si="38"/>
        <v>5837825.0099999998</v>
      </c>
      <c r="M112" s="2">
        <f t="shared" si="38"/>
        <v>16099291.18</v>
      </c>
      <c r="N112" s="2">
        <f t="shared" si="38"/>
        <v>7784857.7199999997</v>
      </c>
      <c r="O112" s="2">
        <f t="shared" si="38"/>
        <v>16094244.300000001</v>
      </c>
      <c r="P112" s="2">
        <f t="shared" si="38"/>
        <v>7902977.2199999997</v>
      </c>
      <c r="Q112" s="2">
        <f t="shared" si="38"/>
        <v>20791692.359999999</v>
      </c>
      <c r="R112" s="2">
        <f t="shared" si="38"/>
        <v>7175180.9199999999</v>
      </c>
      <c r="S112" s="2">
        <f t="shared" si="38"/>
        <v>20070445.379999999</v>
      </c>
      <c r="T112" s="2">
        <f t="shared" si="38"/>
        <v>6987489.4900000002</v>
      </c>
      <c r="U112" s="2">
        <f t="shared" si="38"/>
        <v>24410984.270000003</v>
      </c>
      <c r="V112" s="2">
        <f t="shared" si="38"/>
        <v>4182653.4699999997</v>
      </c>
      <c r="W112" s="2">
        <f t="shared" si="38"/>
        <v>34358661.780000001</v>
      </c>
      <c r="X112" s="2">
        <f t="shared" si="38"/>
        <v>4756662.17</v>
      </c>
      <c r="Y112" s="2">
        <f t="shared" si="38"/>
        <v>37550191.880000003</v>
      </c>
      <c r="Z112" s="2">
        <f t="shared" si="38"/>
        <v>19969076.690000001</v>
      </c>
      <c r="AA112" s="16">
        <f t="shared" si="38"/>
        <v>78679277.219999999</v>
      </c>
      <c r="AB112" s="16">
        <f t="shared" si="38"/>
        <v>28544503.479999997</v>
      </c>
      <c r="AC112" s="16">
        <f t="shared" si="38"/>
        <v>97897786.019999981</v>
      </c>
      <c r="AD112" s="16">
        <f t="shared" si="38"/>
        <v>50095879.390000001</v>
      </c>
      <c r="AE112" s="16">
        <f t="shared" ref="AE112:AH116" si="39">AE10+AE53+AE60+AE67+AE74+AE81+AE95+AE102</f>
        <v>59026929.369999997</v>
      </c>
      <c r="AF112" s="16">
        <f t="shared" si="39"/>
        <v>219982.55</v>
      </c>
      <c r="AG112" s="16">
        <f t="shared" si="39"/>
        <v>3777110.1399999997</v>
      </c>
      <c r="AH112" s="16">
        <f t="shared" si="39"/>
        <v>0</v>
      </c>
      <c r="AI112" s="16">
        <f t="shared" ref="AI112:AL116" si="40">AI10+AI53+AI60+AI67+AI74+AI81+AI95+AI102+AI22+AI28+AI34</f>
        <v>48091910.589999996</v>
      </c>
      <c r="AJ112" s="16">
        <f t="shared" si="40"/>
        <v>121925.19</v>
      </c>
      <c r="AK112" s="16">
        <f t="shared" si="40"/>
        <v>571235</v>
      </c>
      <c r="AL112" s="16">
        <f t="shared" si="40"/>
        <v>571235</v>
      </c>
      <c r="AM112" s="16">
        <f>AM10+AM22+AM28+AM34+AM46+AM53+AM60+AM67+AM74+AM81+AM95+AM102+AM40+AM16</f>
        <v>38238020.859999992</v>
      </c>
      <c r="AN112" s="16">
        <f>AN10+AN22+AN28+AN34+AN46+AN53+AN60+AN67+AN74+AN81+AN95+AN102+AN16+AN40</f>
        <v>7778804.1399999997</v>
      </c>
      <c r="AO112" s="16">
        <f>AO10+AO22+AO28+AO34+AO46+AO53+AO60+AO67+AO74+AO81+AO95+AO102+AO16+AO40</f>
        <v>0</v>
      </c>
      <c r="AP112" s="16">
        <f>AP10+AP22+AP28+AP34+AP46+AP53+AP60+AP67+AP74+AP81+AP95+AP102+AP16+AP40</f>
        <v>0</v>
      </c>
      <c r="AQ112" s="23">
        <f>AQ10+AQ22+AQ28+AQ34+AQ46+AQ53+AQ60+AQ67+AQ74+AQ81+AQ95+AQ102+AQ40+AQ16</f>
        <v>52931245.299999997</v>
      </c>
      <c r="AR112" s="23">
        <f>AR10+AR22+AR28+AR34+AR46+AR53+AR60+AR67+AR74+AR81+AR95+AR102+AR16+AR40</f>
        <v>8376981.8100000005</v>
      </c>
      <c r="AS112" s="23">
        <f>AS10+AS22+AS28+AS34+AS46+AS53+AS60+AS67+AS74+AS81+AS95+AS102+AS16+AS40</f>
        <v>7551208.0300000003</v>
      </c>
      <c r="AT112" s="23">
        <f>AT10+AT22+AT28+AT34+AT46+AT53+AT60+AT67+AT74+AT81+AT95+AT102+AT16+AT40</f>
        <v>7551208.0300000003</v>
      </c>
      <c r="AU112" s="58"/>
      <c r="AV112" s="58"/>
      <c r="AW112" s="44"/>
    </row>
    <row r="113" spans="1:49">
      <c r="A113" s="127" t="s">
        <v>7</v>
      </c>
      <c r="B113" s="156"/>
      <c r="C113" s="2">
        <f t="shared" si="38"/>
        <v>0</v>
      </c>
      <c r="D113" s="2">
        <f t="shared" si="38"/>
        <v>0</v>
      </c>
      <c r="E113" s="2">
        <f t="shared" si="38"/>
        <v>0</v>
      </c>
      <c r="F113" s="2">
        <f t="shared" si="38"/>
        <v>0</v>
      </c>
      <c r="G113" s="2">
        <f t="shared" si="38"/>
        <v>1611249.67</v>
      </c>
      <c r="H113" s="2">
        <f t="shared" si="38"/>
        <v>0</v>
      </c>
      <c r="I113" s="2">
        <f t="shared" si="38"/>
        <v>1404831.87</v>
      </c>
      <c r="J113" s="2">
        <f t="shared" si="38"/>
        <v>0</v>
      </c>
      <c r="K113" s="2">
        <f t="shared" si="38"/>
        <v>2089553.3599999999</v>
      </c>
      <c r="L113" s="2">
        <f t="shared" si="38"/>
        <v>0</v>
      </c>
      <c r="M113" s="2">
        <f t="shared" si="38"/>
        <v>1291836.76</v>
      </c>
      <c r="N113" s="2">
        <f t="shared" si="38"/>
        <v>0</v>
      </c>
      <c r="O113" s="2">
        <f t="shared" si="38"/>
        <v>1343049.24</v>
      </c>
      <c r="P113" s="2">
        <f t="shared" si="38"/>
        <v>0</v>
      </c>
      <c r="Q113" s="2">
        <f t="shared" si="38"/>
        <v>1452525.99</v>
      </c>
      <c r="R113" s="2">
        <f t="shared" si="38"/>
        <v>0</v>
      </c>
      <c r="S113" s="2">
        <f t="shared" si="38"/>
        <v>1242140.78</v>
      </c>
      <c r="T113" s="2">
        <f t="shared" si="38"/>
        <v>0</v>
      </c>
      <c r="U113" s="2">
        <f t="shared" si="38"/>
        <v>1196585.6499999999</v>
      </c>
      <c r="V113" s="2">
        <f t="shared" si="38"/>
        <v>0</v>
      </c>
      <c r="W113" s="2">
        <f t="shared" si="38"/>
        <v>1283435.7</v>
      </c>
      <c r="X113" s="2">
        <f t="shared" si="38"/>
        <v>0</v>
      </c>
      <c r="Y113" s="2">
        <f t="shared" si="38"/>
        <v>0</v>
      </c>
      <c r="Z113" s="2">
        <f t="shared" si="38"/>
        <v>0</v>
      </c>
      <c r="AA113" s="16">
        <f t="shared" si="38"/>
        <v>28007459.789999999</v>
      </c>
      <c r="AB113" s="16">
        <f t="shared" si="38"/>
        <v>0</v>
      </c>
      <c r="AC113" s="16">
        <f t="shared" si="38"/>
        <v>33425614.419999998</v>
      </c>
      <c r="AD113" s="16">
        <f t="shared" si="38"/>
        <v>0</v>
      </c>
      <c r="AE113" s="16">
        <f t="shared" si="39"/>
        <v>36363970.560000002</v>
      </c>
      <c r="AF113" s="16">
        <f t="shared" si="39"/>
        <v>19065790.949999999</v>
      </c>
      <c r="AG113" s="16">
        <f t="shared" si="39"/>
        <v>0</v>
      </c>
      <c r="AH113" s="16">
        <f t="shared" si="39"/>
        <v>0</v>
      </c>
      <c r="AI113" s="16">
        <f t="shared" si="40"/>
        <v>34163653.079999998</v>
      </c>
      <c r="AJ113" s="16">
        <f t="shared" si="40"/>
        <v>16127711.879999999</v>
      </c>
      <c r="AK113" s="16">
        <f t="shared" si="40"/>
        <v>0</v>
      </c>
      <c r="AL113" s="16">
        <f t="shared" si="40"/>
        <v>0</v>
      </c>
      <c r="AM113" s="16">
        <f>AM11+AM23+AM29+AM35+AM47+AM54+AM61+AM68+AM75+AM82+AM96+AM103+AM17+AM41</f>
        <v>29409576.669999994</v>
      </c>
      <c r="AN113" s="16">
        <f>AN11+AN23+AN29+AN35+AN47+AN54+AN61+AN68+AN75+AN82+AN96+AN103+AN17+AN41</f>
        <v>18402119.850000001</v>
      </c>
      <c r="AO113" s="16">
        <f>AO11+AO23+AO29+AO35+AO47+AO54+AO61+AO68+AO75+AO82+AO96+AO103+AO17+AO41</f>
        <v>0</v>
      </c>
      <c r="AP113" s="16">
        <f>AP11+AP23+AP29+AP35+AP47+AP54+AP61+AP68+AP75+AP82+AP96+AP103+AP17+AP40</f>
        <v>0</v>
      </c>
      <c r="AQ113" s="23">
        <f>AQ11+AQ23+AQ29+AQ35+AQ47+AQ54+AQ61+AQ68+AQ75+AQ82+AQ96+AQ103+AQ17+AQ41</f>
        <v>46540206.120000005</v>
      </c>
      <c r="AR113" s="23">
        <f>AR11+AR23+AR29+AR35+AR47+AR54+AR61+AR68+AR75+AR82+AR96+AR103+AR17+AR41</f>
        <v>25759337.25</v>
      </c>
      <c r="AS113" s="23">
        <f>AS11+AS23+AS29+AS35+AS47+AS54+AS61+AS68+AS75+AS82+AS96+AS103+AS17+AS41</f>
        <v>0</v>
      </c>
      <c r="AT113" s="23">
        <f>AT11+AT23+AT29+AT35+AT47+AT54+AT61+AT68+AT75+AT82+AT96+AT103+AT17+AT40</f>
        <v>0</v>
      </c>
      <c r="AU113" s="58"/>
      <c r="AV113" s="58"/>
      <c r="AW113" s="44"/>
    </row>
    <row r="114" spans="1:49" ht="44.25" customHeight="1">
      <c r="A114" s="127" t="s">
        <v>8</v>
      </c>
      <c r="B114" s="156"/>
      <c r="C114" s="2">
        <f t="shared" si="38"/>
        <v>0</v>
      </c>
      <c r="D114" s="2">
        <f t="shared" si="38"/>
        <v>0</v>
      </c>
      <c r="E114" s="2">
        <f t="shared" si="38"/>
        <v>5781112.8999999994</v>
      </c>
      <c r="F114" s="2">
        <f t="shared" si="38"/>
        <v>0</v>
      </c>
      <c r="G114" s="2">
        <f t="shared" si="38"/>
        <v>841993.46</v>
      </c>
      <c r="H114" s="2">
        <f t="shared" si="38"/>
        <v>0</v>
      </c>
      <c r="I114" s="2">
        <f t="shared" si="38"/>
        <v>730672.66</v>
      </c>
      <c r="J114" s="2">
        <f t="shared" si="38"/>
        <v>0</v>
      </c>
      <c r="K114" s="2">
        <f t="shared" si="38"/>
        <v>907890.05999999994</v>
      </c>
      <c r="L114" s="2">
        <f t="shared" si="38"/>
        <v>0</v>
      </c>
      <c r="M114" s="2">
        <f t="shared" si="38"/>
        <v>596611.02</v>
      </c>
      <c r="N114" s="2">
        <f t="shared" si="38"/>
        <v>0</v>
      </c>
      <c r="O114" s="2">
        <f t="shared" si="38"/>
        <v>806056.14</v>
      </c>
      <c r="P114" s="2">
        <f t="shared" si="38"/>
        <v>0</v>
      </c>
      <c r="Q114" s="2">
        <f t="shared" si="38"/>
        <v>910579.46000000008</v>
      </c>
      <c r="R114" s="2">
        <f t="shared" si="38"/>
        <v>0</v>
      </c>
      <c r="S114" s="2">
        <f t="shared" si="38"/>
        <v>832315.84</v>
      </c>
      <c r="T114" s="2">
        <f t="shared" si="38"/>
        <v>0</v>
      </c>
      <c r="U114" s="2">
        <f t="shared" si="38"/>
        <v>786043.03</v>
      </c>
      <c r="V114" s="2">
        <f t="shared" si="38"/>
        <v>0</v>
      </c>
      <c r="W114" s="2">
        <f t="shared" si="38"/>
        <v>782576.37000000011</v>
      </c>
      <c r="X114" s="2">
        <f t="shared" si="38"/>
        <v>0</v>
      </c>
      <c r="Y114" s="2">
        <f t="shared" si="38"/>
        <v>4770499.5100000007</v>
      </c>
      <c r="Z114" s="2">
        <f t="shared" si="38"/>
        <v>0</v>
      </c>
      <c r="AA114" s="16">
        <f t="shared" si="38"/>
        <v>11517101.640000001</v>
      </c>
      <c r="AB114" s="16">
        <f t="shared" si="38"/>
        <v>0</v>
      </c>
      <c r="AC114" s="16">
        <f t="shared" si="38"/>
        <v>17884307.940000001</v>
      </c>
      <c r="AD114" s="16">
        <f t="shared" si="38"/>
        <v>11291466.59</v>
      </c>
      <c r="AE114" s="16">
        <f t="shared" si="39"/>
        <v>19682269.09</v>
      </c>
      <c r="AF114" s="16">
        <f t="shared" si="39"/>
        <v>9924703.2199999988</v>
      </c>
      <c r="AG114" s="16">
        <f t="shared" si="39"/>
        <v>0</v>
      </c>
      <c r="AH114" s="16">
        <f t="shared" si="39"/>
        <v>0</v>
      </c>
      <c r="AI114" s="16">
        <f t="shared" si="40"/>
        <v>19422993.020000003</v>
      </c>
      <c r="AJ114" s="16">
        <f t="shared" si="40"/>
        <v>9100808</v>
      </c>
      <c r="AK114" s="16">
        <f t="shared" si="40"/>
        <v>0</v>
      </c>
      <c r="AL114" s="16">
        <f t="shared" si="40"/>
        <v>0</v>
      </c>
      <c r="AM114" s="16">
        <f>AM12+AM24+AM30+AM36+AM48+AM55+AM62+AM69+AM76+AM83+AM97+AM104+AM18+AM42</f>
        <v>12055886.539999999</v>
      </c>
      <c r="AN114" s="16">
        <f>AN12+AN24+AN30+AN36+AN48+AN55+AN62+AN69+AN76+AN83+AN97+AN104+AO18+AN42</f>
        <v>7725839.5099999998</v>
      </c>
      <c r="AO114" s="16">
        <f t="shared" ref="AO114:AP116" si="41">AO12+AO24+AO30+AO36+AO48+AO55+AO62+AO69+AO76+AO83+AO97+AO104+AO18+AO42</f>
        <v>0</v>
      </c>
      <c r="AP114" s="16">
        <f t="shared" si="41"/>
        <v>0</v>
      </c>
      <c r="AQ114" s="23">
        <f>AQ12+AQ24+AQ30+AQ36+AQ48+AQ55+AQ62+AQ69+AQ76+AQ83+AQ97+AQ104+AQ18+AQ42</f>
        <v>21209272.030000001</v>
      </c>
      <c r="AR114" s="23">
        <f>AR12+AR24+AR30+AR36+AR48+AR55+AR62+AR69+AR76+AR83+AR97+AR104+AS18+AR42</f>
        <v>11748867.01</v>
      </c>
      <c r="AS114" s="23">
        <f t="shared" ref="AS114:AT116" si="42">AS12+AS24+AS30+AS36+AS48+AS55+AS62+AS69+AS76+AS83+AS97+AS104+AS18+AS42</f>
        <v>0</v>
      </c>
      <c r="AT114" s="23">
        <f t="shared" si="42"/>
        <v>0</v>
      </c>
      <c r="AU114" s="58"/>
      <c r="AV114" s="58"/>
      <c r="AW114" s="44"/>
    </row>
    <row r="115" spans="1:49">
      <c r="A115" s="127" t="s">
        <v>9</v>
      </c>
      <c r="B115" s="156"/>
      <c r="C115" s="2">
        <f t="shared" ref="C115:Z115" si="43">C13+C56+C63+C70+C77+C84+C91+C98+C105+C108</f>
        <v>0</v>
      </c>
      <c r="D115" s="2">
        <f t="shared" si="43"/>
        <v>0</v>
      </c>
      <c r="E115" s="2">
        <f t="shared" si="43"/>
        <v>60461371.310000002</v>
      </c>
      <c r="F115" s="2">
        <f t="shared" si="43"/>
        <v>58245420.57</v>
      </c>
      <c r="G115" s="2">
        <f t="shared" si="43"/>
        <v>69929562.310000002</v>
      </c>
      <c r="H115" s="2">
        <f t="shared" si="43"/>
        <v>58525671.140000001</v>
      </c>
      <c r="I115" s="2">
        <f t="shared" si="43"/>
        <v>65526882.990000002</v>
      </c>
      <c r="J115" s="2">
        <f t="shared" si="43"/>
        <v>61624312.380000003</v>
      </c>
      <c r="K115" s="2">
        <f t="shared" si="43"/>
        <v>71721506.659999996</v>
      </c>
      <c r="L115" s="2">
        <f t="shared" si="43"/>
        <v>64774384.220000006</v>
      </c>
      <c r="M115" s="2">
        <f t="shared" si="43"/>
        <v>75480113.579999998</v>
      </c>
      <c r="N115" s="2">
        <f t="shared" si="43"/>
        <v>65031804.82</v>
      </c>
      <c r="O115" s="2">
        <f t="shared" si="43"/>
        <v>72791361.200000003</v>
      </c>
      <c r="P115" s="2">
        <f t="shared" si="43"/>
        <v>72572463.200000003</v>
      </c>
      <c r="Q115" s="2">
        <f t="shared" si="43"/>
        <v>72380297.609999999</v>
      </c>
      <c r="R115" s="2">
        <f t="shared" si="43"/>
        <v>65383680.850000001</v>
      </c>
      <c r="S115" s="2">
        <f t="shared" si="43"/>
        <v>72695876.399999991</v>
      </c>
      <c r="T115" s="2">
        <f t="shared" si="43"/>
        <v>65850024.600000001</v>
      </c>
      <c r="U115" s="2">
        <f t="shared" si="43"/>
        <v>69041659.049999997</v>
      </c>
      <c r="V115" s="2">
        <f t="shared" si="43"/>
        <v>68852972.399999991</v>
      </c>
      <c r="W115" s="2">
        <f t="shared" si="43"/>
        <v>65102023.400000006</v>
      </c>
      <c r="X115" s="2">
        <f t="shared" si="43"/>
        <v>64910950.400000006</v>
      </c>
      <c r="Y115" s="2">
        <f t="shared" si="43"/>
        <v>66208215.299999997</v>
      </c>
      <c r="Z115" s="2">
        <f t="shared" si="43"/>
        <v>65394874.099999994</v>
      </c>
      <c r="AA115" s="16">
        <f t="shared" si="38"/>
        <v>14182522.93</v>
      </c>
      <c r="AB115" s="16">
        <f t="shared" si="38"/>
        <v>12430432.640000001</v>
      </c>
      <c r="AC115" s="16">
        <f t="shared" si="38"/>
        <v>21526116.329999998</v>
      </c>
      <c r="AD115" s="16">
        <f t="shared" si="38"/>
        <v>20453326.48</v>
      </c>
      <c r="AE115" s="16">
        <f t="shared" si="39"/>
        <v>6002746.2800000012</v>
      </c>
      <c r="AF115" s="16">
        <f t="shared" si="39"/>
        <v>92285.57</v>
      </c>
      <c r="AG115" s="16">
        <f t="shared" si="39"/>
        <v>5647572.7300000004</v>
      </c>
      <c r="AH115" s="16">
        <f t="shared" si="39"/>
        <v>0</v>
      </c>
      <c r="AI115" s="16">
        <f t="shared" si="40"/>
        <v>500646.57</v>
      </c>
      <c r="AJ115" s="16">
        <f t="shared" si="40"/>
        <v>0</v>
      </c>
      <c r="AK115" s="16">
        <f t="shared" si="40"/>
        <v>381120</v>
      </c>
      <c r="AL115" s="16">
        <f t="shared" si="40"/>
        <v>0</v>
      </c>
      <c r="AM115" s="16">
        <f>AM13+AM25+AM31+AM37+AM49+AM56+AM63+AM70+AM77+AM84+AM98+AM105+AM19+AM43</f>
        <v>101526.20999999999</v>
      </c>
      <c r="AN115" s="16">
        <f>AN13+AN25+AN31+AN37+AN49+AN56+AN63+AN70+AN77+AN84+AN98+AN105+AN19+AN43</f>
        <v>64281.21</v>
      </c>
      <c r="AO115" s="16">
        <f t="shared" si="41"/>
        <v>0</v>
      </c>
      <c r="AP115" s="16">
        <f t="shared" si="41"/>
        <v>0</v>
      </c>
      <c r="AQ115" s="23">
        <f>AQ13+AQ25+AQ31+AQ37+AQ49+AQ56+AQ63+AQ70+AQ77+AQ84+AQ98+AQ105+AQ19+AQ43</f>
        <v>64281.21</v>
      </c>
      <c r="AR115" s="23">
        <f>AR13+AR25+AR31+AR37+AR49+AR56+AR63+AR70+AR77+AR84+AR98+AR105+AR19+AR43</f>
        <v>64281.21</v>
      </c>
      <c r="AS115" s="23">
        <f t="shared" si="42"/>
        <v>0</v>
      </c>
      <c r="AT115" s="23">
        <f t="shared" si="42"/>
        <v>0</v>
      </c>
      <c r="AU115" s="58"/>
      <c r="AV115" s="58"/>
      <c r="AW115" s="44"/>
    </row>
    <row r="116" spans="1:49">
      <c r="A116" s="127" t="s">
        <v>14</v>
      </c>
      <c r="B116" s="156"/>
      <c r="C116" s="2">
        <f t="shared" ref="C116:Z116" si="44">C14+C57+C64+C71+C78+C85+C92+C99+C106</f>
        <v>0</v>
      </c>
      <c r="D116" s="2">
        <f t="shared" si="44"/>
        <v>0</v>
      </c>
      <c r="E116" s="2">
        <f t="shared" si="44"/>
        <v>1669019.14</v>
      </c>
      <c r="F116" s="2">
        <f t="shared" si="44"/>
        <v>1882435.7999999998</v>
      </c>
      <c r="G116" s="2">
        <f t="shared" si="44"/>
        <v>1912163.48</v>
      </c>
      <c r="H116" s="2">
        <f t="shared" si="44"/>
        <v>1882435.8</v>
      </c>
      <c r="I116" s="2">
        <f t="shared" si="44"/>
        <v>1912257.9000000001</v>
      </c>
      <c r="J116" s="2">
        <f t="shared" si="44"/>
        <v>1882435.8</v>
      </c>
      <c r="K116" s="2">
        <f t="shared" si="44"/>
        <v>1882435.8</v>
      </c>
      <c r="L116" s="2">
        <f t="shared" si="44"/>
        <v>1882435.8</v>
      </c>
      <c r="M116" s="2">
        <f t="shared" si="44"/>
        <v>1882435.8</v>
      </c>
      <c r="N116" s="2">
        <f t="shared" si="44"/>
        <v>1882435.8</v>
      </c>
      <c r="O116" s="2">
        <f t="shared" si="44"/>
        <v>1918227.3900000001</v>
      </c>
      <c r="P116" s="2">
        <f t="shared" si="44"/>
        <v>1882435.8</v>
      </c>
      <c r="Q116" s="2">
        <f t="shared" si="44"/>
        <v>1914435.79</v>
      </c>
      <c r="R116" s="2">
        <f t="shared" si="44"/>
        <v>1882435.8</v>
      </c>
      <c r="S116" s="2">
        <f t="shared" si="44"/>
        <v>1914497.09</v>
      </c>
      <c r="T116" s="2">
        <f t="shared" si="44"/>
        <v>1882435.8</v>
      </c>
      <c r="U116" s="2">
        <f t="shared" si="44"/>
        <v>1917459.72</v>
      </c>
      <c r="V116" s="2">
        <f t="shared" si="44"/>
        <v>1882435.8</v>
      </c>
      <c r="W116" s="2">
        <f t="shared" si="44"/>
        <v>1904985.28</v>
      </c>
      <c r="X116" s="2">
        <f t="shared" si="44"/>
        <v>1882435.8</v>
      </c>
      <c r="Y116" s="2">
        <f t="shared" si="44"/>
        <v>30983920.480000004</v>
      </c>
      <c r="Z116" s="2">
        <f t="shared" si="44"/>
        <v>30913688.039999999</v>
      </c>
      <c r="AA116" s="16">
        <f t="shared" si="38"/>
        <v>4406576.5</v>
      </c>
      <c r="AB116" s="16">
        <f t="shared" si="38"/>
        <v>2369961.35</v>
      </c>
      <c r="AC116" s="16">
        <f t="shared" si="38"/>
        <v>40352793.869999997</v>
      </c>
      <c r="AD116" s="16">
        <f t="shared" si="38"/>
        <v>38134374.859999999</v>
      </c>
      <c r="AE116" s="16">
        <f t="shared" si="39"/>
        <v>7870302.5999999996</v>
      </c>
      <c r="AF116" s="16">
        <f t="shared" si="39"/>
        <v>2860480.3600000003</v>
      </c>
      <c r="AG116" s="16">
        <f t="shared" si="39"/>
        <v>5005157.24</v>
      </c>
      <c r="AH116" s="16">
        <f t="shared" si="39"/>
        <v>0</v>
      </c>
      <c r="AI116" s="16">
        <f t="shared" si="40"/>
        <v>8026868.0799999991</v>
      </c>
      <c r="AJ116" s="16">
        <f t="shared" si="40"/>
        <v>847221.52</v>
      </c>
      <c r="AK116" s="16">
        <f t="shared" si="40"/>
        <v>0</v>
      </c>
      <c r="AL116" s="16">
        <f t="shared" si="40"/>
        <v>0</v>
      </c>
      <c r="AM116" s="16">
        <f>AM14+AM26+AM32+AM38+AM50+AM57+AM64+AM71+AM78+AM85+AM99+AM106+AM20+AM44</f>
        <v>1324931.1499999999</v>
      </c>
      <c r="AN116" s="16">
        <f>AN14+AN26+AN32+AN38+AN50+AN57+AN64+AN71+AN78+AN85+AN99+AN106+AN20+AN44</f>
        <v>1128483.68</v>
      </c>
      <c r="AO116" s="16">
        <f t="shared" si="41"/>
        <v>0</v>
      </c>
      <c r="AP116" s="16">
        <f t="shared" si="41"/>
        <v>0</v>
      </c>
      <c r="AQ116" s="23">
        <f>AQ14+AQ26+AQ32+AQ38+AQ50+AQ57+AQ64+AQ71+AQ78+AQ85+AQ99+AQ106+AQ20+AQ44</f>
        <v>8585346.5700000003</v>
      </c>
      <c r="AR116" s="23">
        <f>AR14+AR26+AR32+AR38+AR50+AR57+AR64+AR71+AR78+AR85+AR99+AR106+AR20+AR44</f>
        <v>8485346.5700000003</v>
      </c>
      <c r="AS116" s="23">
        <f t="shared" si="42"/>
        <v>0</v>
      </c>
      <c r="AT116" s="23">
        <f t="shared" si="42"/>
        <v>0</v>
      </c>
      <c r="AU116" s="58"/>
      <c r="AV116" s="58"/>
      <c r="AW116" s="44"/>
    </row>
    <row r="117" spans="1:49" ht="16.5" customHeight="1">
      <c r="A117" s="157" t="s">
        <v>17</v>
      </c>
      <c r="B117" s="156"/>
      <c r="C117" s="3">
        <v>19700824</v>
      </c>
      <c r="D117" s="3"/>
      <c r="E117" s="3">
        <v>30646350</v>
      </c>
      <c r="F117" s="3"/>
      <c r="G117" s="3">
        <v>30646350</v>
      </c>
      <c r="H117" s="3"/>
      <c r="I117" s="3">
        <v>30646350</v>
      </c>
      <c r="J117" s="3"/>
      <c r="K117" s="3">
        <v>30646350</v>
      </c>
      <c r="L117" s="3"/>
      <c r="M117" s="3">
        <v>30646350</v>
      </c>
      <c r="N117" s="3"/>
      <c r="O117" s="3">
        <v>30646350</v>
      </c>
      <c r="P117" s="3"/>
      <c r="Q117" s="3">
        <v>30646350</v>
      </c>
      <c r="R117" s="3"/>
      <c r="S117" s="3">
        <v>39646350</v>
      </c>
      <c r="T117" s="3"/>
      <c r="U117" s="3">
        <v>39646350</v>
      </c>
      <c r="V117" s="3"/>
      <c r="W117" s="3">
        <v>39646350</v>
      </c>
      <c r="X117" s="3"/>
      <c r="Y117" s="3">
        <v>39592849</v>
      </c>
      <c r="Z117" s="3"/>
      <c r="AA117" s="22">
        <v>43884741</v>
      </c>
      <c r="AB117" s="18"/>
      <c r="AC117" s="22">
        <v>38729175</v>
      </c>
      <c r="AD117" s="18"/>
      <c r="AE117" s="22">
        <v>1250000</v>
      </c>
      <c r="AF117" s="22"/>
      <c r="AG117" s="22"/>
      <c r="AH117" s="22"/>
      <c r="AI117" s="22">
        <v>0</v>
      </c>
      <c r="AJ117" s="22"/>
      <c r="AK117" s="22"/>
      <c r="AL117" s="22"/>
      <c r="AM117" s="22">
        <v>20316355.16</v>
      </c>
      <c r="AN117" s="22"/>
      <c r="AO117" s="22"/>
      <c r="AP117" s="22"/>
      <c r="AQ117" s="3">
        <v>19000000</v>
      </c>
      <c r="AR117" s="3"/>
      <c r="AS117" s="3"/>
      <c r="AT117" s="3"/>
      <c r="AU117" s="58"/>
      <c r="AV117" s="58"/>
      <c r="AW117" s="44"/>
    </row>
    <row r="118" spans="1:49">
      <c r="A118" s="157" t="s">
        <v>18</v>
      </c>
      <c r="B118" s="156"/>
      <c r="C118" s="3">
        <f t="shared" ref="C118:AA118" si="45">C111+C117</f>
        <v>114288501.81999999</v>
      </c>
      <c r="D118" s="3">
        <f t="shared" si="45"/>
        <v>68008770.719999999</v>
      </c>
      <c r="E118" s="3">
        <f t="shared" si="45"/>
        <v>116511079.75999999</v>
      </c>
      <c r="F118" s="3">
        <f t="shared" si="45"/>
        <v>66510808.209999993</v>
      </c>
      <c r="G118" s="3">
        <f t="shared" si="45"/>
        <v>124157416.09000002</v>
      </c>
      <c r="H118" s="3">
        <f t="shared" si="45"/>
        <v>66963948.660000004</v>
      </c>
      <c r="I118" s="3">
        <f t="shared" si="45"/>
        <v>123086498.88000001</v>
      </c>
      <c r="J118" s="3">
        <f t="shared" si="45"/>
        <v>69371696.100000009</v>
      </c>
      <c r="K118" s="3">
        <f t="shared" si="45"/>
        <v>124338367.95999999</v>
      </c>
      <c r="L118" s="3">
        <f t="shared" si="45"/>
        <v>72494645.030000001</v>
      </c>
      <c r="M118" s="3">
        <f t="shared" si="45"/>
        <v>125996638.34</v>
      </c>
      <c r="N118" s="3">
        <f t="shared" si="45"/>
        <v>74699098.340000004</v>
      </c>
      <c r="O118" s="3">
        <f t="shared" si="45"/>
        <v>123599288.27</v>
      </c>
      <c r="P118" s="3">
        <f t="shared" si="45"/>
        <v>82357876.220000014</v>
      </c>
      <c r="Q118" s="3">
        <f t="shared" si="45"/>
        <v>128095881.20999998</v>
      </c>
      <c r="R118" s="3">
        <f t="shared" si="45"/>
        <v>74441297.569999993</v>
      </c>
      <c r="S118" s="3">
        <f t="shared" si="45"/>
        <v>136401625.49000001</v>
      </c>
      <c r="T118" s="3">
        <f t="shared" si="45"/>
        <v>74719949.890000001</v>
      </c>
      <c r="U118" s="3">
        <f t="shared" si="45"/>
        <v>136999081.71999997</v>
      </c>
      <c r="V118" s="3">
        <f t="shared" si="45"/>
        <v>74918061.669999987</v>
      </c>
      <c r="W118" s="3">
        <f t="shared" si="45"/>
        <v>143078032.53</v>
      </c>
      <c r="X118" s="3">
        <f t="shared" si="45"/>
        <v>71550048.36999999</v>
      </c>
      <c r="Y118" s="3">
        <f t="shared" si="45"/>
        <v>179105676.16999999</v>
      </c>
      <c r="Z118" s="3">
        <f t="shared" si="45"/>
        <v>116277638.82999998</v>
      </c>
      <c r="AA118" s="22">
        <f t="shared" si="45"/>
        <v>180677679.08000001</v>
      </c>
      <c r="AB118" s="22">
        <f>AB111+AB117</f>
        <v>43344897.469999999</v>
      </c>
      <c r="AC118" s="22">
        <f t="shared" ref="AC118:AT118" si="46">AC111+AC117</f>
        <v>249815793.58000001</v>
      </c>
      <c r="AD118" s="22">
        <f t="shared" si="46"/>
        <v>119975047.31999999</v>
      </c>
      <c r="AE118" s="22">
        <f t="shared" si="46"/>
        <v>130196217.90000001</v>
      </c>
      <c r="AF118" s="22">
        <f t="shared" si="46"/>
        <v>32163242.649999999</v>
      </c>
      <c r="AG118" s="22">
        <f t="shared" si="46"/>
        <v>14429840.109999999</v>
      </c>
      <c r="AH118" s="22">
        <f t="shared" si="46"/>
        <v>0</v>
      </c>
      <c r="AI118" s="22">
        <f t="shared" si="46"/>
        <v>110206071.34</v>
      </c>
      <c r="AJ118" s="22">
        <f t="shared" si="46"/>
        <v>26197666.589999996</v>
      </c>
      <c r="AK118" s="22">
        <f t="shared" si="46"/>
        <v>952355</v>
      </c>
      <c r="AL118" s="22">
        <f t="shared" si="46"/>
        <v>571235</v>
      </c>
      <c r="AM118" s="22">
        <f t="shared" si="46"/>
        <v>101092901.7</v>
      </c>
      <c r="AN118" s="22">
        <f t="shared" si="46"/>
        <v>35099528.390000001</v>
      </c>
      <c r="AO118" s="22">
        <f t="shared" si="46"/>
        <v>0</v>
      </c>
      <c r="AP118" s="22">
        <f t="shared" si="46"/>
        <v>0</v>
      </c>
      <c r="AQ118" s="3">
        <f t="shared" si="46"/>
        <v>147312222.10999995</v>
      </c>
      <c r="AR118" s="3">
        <f t="shared" si="46"/>
        <v>54434813.850000001</v>
      </c>
      <c r="AS118" s="3">
        <f t="shared" si="46"/>
        <v>7551208.0300000003</v>
      </c>
      <c r="AT118" s="3">
        <f t="shared" si="46"/>
        <v>7551208.0300000003</v>
      </c>
      <c r="AU118" s="58">
        <f>AQ118/AM118-1</f>
        <v>0.45719649582479005</v>
      </c>
      <c r="AV118" s="58" t="e">
        <f>AS118/AO118-1</f>
        <v>#DIV/0!</v>
      </c>
      <c r="AW118" s="44"/>
    </row>
    <row r="119" spans="1:49">
      <c r="A119" s="127" t="s">
        <v>19</v>
      </c>
      <c r="B119" s="156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15"/>
      <c r="AB119" s="15"/>
      <c r="AC119" s="15"/>
      <c r="AD119" s="15"/>
      <c r="AE119" s="15"/>
      <c r="AF119" s="15"/>
      <c r="AG119" s="15"/>
      <c r="AH119" s="15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</row>
    <row r="120" spans="1:49">
      <c r="A120" s="127" t="s">
        <v>24</v>
      </c>
      <c r="B120" s="156"/>
      <c r="C120" s="4">
        <v>102575991</v>
      </c>
      <c r="D120" s="4">
        <v>63430848.460000001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</row>
    <row r="121" spans="1:49">
      <c r="A121" s="127" t="s">
        <v>23</v>
      </c>
      <c r="B121" s="156"/>
      <c r="C121" s="4">
        <f>C118-C120</f>
        <v>11712510.819999993</v>
      </c>
      <c r="D121" s="4">
        <f>D118-D120</f>
        <v>4577922.2599999979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</row>
    <row r="122" spans="1:49">
      <c r="A122" s="127" t="s">
        <v>37</v>
      </c>
      <c r="B122" s="156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21">
        <v>2369961.35</v>
      </c>
      <c r="AB122" s="21">
        <v>2369961.35</v>
      </c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</row>
    <row r="123" spans="1:49"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</row>
    <row r="124" spans="1:49"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</row>
    <row r="125" spans="1:49"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</row>
    <row r="126" spans="1:49"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</row>
    <row r="127" spans="1:49"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</row>
    <row r="128" spans="1:49"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</row>
    <row r="129" spans="35:48"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</row>
    <row r="130" spans="35:48"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</row>
    <row r="131" spans="35:48"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</row>
    <row r="132" spans="35:48"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</row>
  </sheetData>
  <mergeCells count="517">
    <mergeCell ref="AQ58:AQ59"/>
    <mergeCell ref="AR58:AR59"/>
    <mergeCell ref="AS58:AS59"/>
    <mergeCell ref="AT58:AT59"/>
    <mergeCell ref="AQ51:AQ52"/>
    <mergeCell ref="AR51:AR52"/>
    <mergeCell ref="AS51:AS52"/>
    <mergeCell ref="AT51:AT52"/>
    <mergeCell ref="AQ72:AQ73"/>
    <mergeCell ref="AR72:AR73"/>
    <mergeCell ref="AS72:AS73"/>
    <mergeCell ref="AT72:AT73"/>
    <mergeCell ref="AQ79:AQ80"/>
    <mergeCell ref="AR79:AR80"/>
    <mergeCell ref="AS79:AS80"/>
    <mergeCell ref="AT79:AT80"/>
    <mergeCell ref="AQ100:AQ101"/>
    <mergeCell ref="AR100:AR101"/>
    <mergeCell ref="AS100:AS101"/>
    <mergeCell ref="AT100:AT101"/>
    <mergeCell ref="A120:B120"/>
    <mergeCell ref="A102:B102"/>
    <mergeCell ref="A103:B103"/>
    <mergeCell ref="A104:B104"/>
    <mergeCell ref="A105:B105"/>
    <mergeCell ref="A106:B106"/>
    <mergeCell ref="AM100:AM101"/>
    <mergeCell ref="AN100:AN101"/>
    <mergeCell ref="AO100:AO101"/>
    <mergeCell ref="AP100:AP101"/>
    <mergeCell ref="Y100:Y101"/>
    <mergeCell ref="Z100:Z101"/>
    <mergeCell ref="AA100:AA101"/>
    <mergeCell ref="AB100:AB101"/>
    <mergeCell ref="AC100:AC101"/>
    <mergeCell ref="AD100:AD101"/>
    <mergeCell ref="A121:B121"/>
    <mergeCell ref="A122:B122"/>
    <mergeCell ref="A114:B114"/>
    <mergeCell ref="A115:B115"/>
    <mergeCell ref="A116:B116"/>
    <mergeCell ref="A117:B117"/>
    <mergeCell ref="A118:B118"/>
    <mergeCell ref="A119:B119"/>
    <mergeCell ref="AV107:AV108"/>
    <mergeCell ref="A108:B108"/>
    <mergeCell ref="A109:B109"/>
    <mergeCell ref="A111:B111"/>
    <mergeCell ref="A112:B112"/>
    <mergeCell ref="A113:B113"/>
    <mergeCell ref="AU107:AU108"/>
    <mergeCell ref="AU100:AU101"/>
    <mergeCell ref="AV100:AV101"/>
    <mergeCell ref="AG100:AG101"/>
    <mergeCell ref="AH100:AH101"/>
    <mergeCell ref="AI100:AI101"/>
    <mergeCell ref="AJ100:AJ101"/>
    <mergeCell ref="AK100:AK101"/>
    <mergeCell ref="AL100:AL101"/>
    <mergeCell ref="AE100:AE101"/>
    <mergeCell ref="AF100:AF101"/>
    <mergeCell ref="A99:B99"/>
    <mergeCell ref="A100:B101"/>
    <mergeCell ref="C100:C101"/>
    <mergeCell ref="D100:D101"/>
    <mergeCell ref="E100:E101"/>
    <mergeCell ref="F100:F101"/>
    <mergeCell ref="S100:S101"/>
    <mergeCell ref="T100:T101"/>
    <mergeCell ref="U100:U101"/>
    <mergeCell ref="M100:M101"/>
    <mergeCell ref="N100:N101"/>
    <mergeCell ref="O100:O101"/>
    <mergeCell ref="P100:P101"/>
    <mergeCell ref="Q100:Q101"/>
    <mergeCell ref="R100:R101"/>
    <mergeCell ref="AA93:AA94"/>
    <mergeCell ref="AB93:AB94"/>
    <mergeCell ref="Q93:Q94"/>
    <mergeCell ref="G100:G101"/>
    <mergeCell ref="H100:H101"/>
    <mergeCell ref="I100:I101"/>
    <mergeCell ref="J100:J101"/>
    <mergeCell ref="K100:K101"/>
    <mergeCell ref="L100:L101"/>
    <mergeCell ref="V100:V101"/>
    <mergeCell ref="W100:W101"/>
    <mergeCell ref="X100:X101"/>
    <mergeCell ref="H93:H94"/>
    <mergeCell ref="I93:I94"/>
    <mergeCell ref="J93:J94"/>
    <mergeCell ref="N93:N94"/>
    <mergeCell ref="O93:O94"/>
    <mergeCell ref="P93:P94"/>
    <mergeCell ref="W93:W94"/>
    <mergeCell ref="X93:X94"/>
    <mergeCell ref="Y93:Y94"/>
    <mergeCell ref="R93:R94"/>
    <mergeCell ref="S93:S94"/>
    <mergeCell ref="T93:T94"/>
    <mergeCell ref="AU93:AU94"/>
    <mergeCell ref="AV93:AV94"/>
    <mergeCell ref="A95:B95"/>
    <mergeCell ref="A96:B96"/>
    <mergeCell ref="A97:B97"/>
    <mergeCell ref="A98:B98"/>
    <mergeCell ref="AK93:AK94"/>
    <mergeCell ref="AL93:AL94"/>
    <mergeCell ref="AM93:AM94"/>
    <mergeCell ref="AN93:AN94"/>
    <mergeCell ref="AO93:AO94"/>
    <mergeCell ref="AP93:AP94"/>
    <mergeCell ref="AE93:AE94"/>
    <mergeCell ref="AF93:AF94"/>
    <mergeCell ref="AG93:AG94"/>
    <mergeCell ref="AH93:AH94"/>
    <mergeCell ref="AI93:AI94"/>
    <mergeCell ref="AJ93:AJ94"/>
    <mergeCell ref="AC93:AC94"/>
    <mergeCell ref="AD93:AD94"/>
    <mergeCell ref="Z93:Z94"/>
    <mergeCell ref="K93:K94"/>
    <mergeCell ref="L93:L94"/>
    <mergeCell ref="M93:M94"/>
    <mergeCell ref="A90:B90"/>
    <mergeCell ref="A91:B91"/>
    <mergeCell ref="A92:B92"/>
    <mergeCell ref="A93:B94"/>
    <mergeCell ref="C93:C94"/>
    <mergeCell ref="D93:D94"/>
    <mergeCell ref="E93:E94"/>
    <mergeCell ref="F93:F94"/>
    <mergeCell ref="G93:G94"/>
    <mergeCell ref="U93:U94"/>
    <mergeCell ref="V93:V94"/>
    <mergeCell ref="AV86:AV87"/>
    <mergeCell ref="A88:B88"/>
    <mergeCell ref="A89:B89"/>
    <mergeCell ref="S86:S87"/>
    <mergeCell ref="T86:T87"/>
    <mergeCell ref="U86:U87"/>
    <mergeCell ref="V86:V87"/>
    <mergeCell ref="W86:W87"/>
    <mergeCell ref="X86:X87"/>
    <mergeCell ref="M86:M87"/>
    <mergeCell ref="N86:N87"/>
    <mergeCell ref="O86:O87"/>
    <mergeCell ref="P86:P87"/>
    <mergeCell ref="Q86:Q87"/>
    <mergeCell ref="R86:R87"/>
    <mergeCell ref="G86:G87"/>
    <mergeCell ref="H86:H87"/>
    <mergeCell ref="I86:I87"/>
    <mergeCell ref="J86:J87"/>
    <mergeCell ref="K86:K87"/>
    <mergeCell ref="L86:L87"/>
    <mergeCell ref="Y86:Y87"/>
    <mergeCell ref="Z86:Z87"/>
    <mergeCell ref="AU86:AU87"/>
    <mergeCell ref="A85:B85"/>
    <mergeCell ref="A86:B87"/>
    <mergeCell ref="C86:C87"/>
    <mergeCell ref="D86:D87"/>
    <mergeCell ref="E86:E87"/>
    <mergeCell ref="F86:F87"/>
    <mergeCell ref="AU79:AU80"/>
    <mergeCell ref="AB79:AB80"/>
    <mergeCell ref="Q79:Q80"/>
    <mergeCell ref="R79:R80"/>
    <mergeCell ref="S79:S80"/>
    <mergeCell ref="T79:T80"/>
    <mergeCell ref="U79:U80"/>
    <mergeCell ref="V79:V80"/>
    <mergeCell ref="K79:K80"/>
    <mergeCell ref="L79:L80"/>
    <mergeCell ref="M79:M80"/>
    <mergeCell ref="N79:N80"/>
    <mergeCell ref="O79:O80"/>
    <mergeCell ref="P79:P80"/>
    <mergeCell ref="E79:E80"/>
    <mergeCell ref="F79:F80"/>
    <mergeCell ref="AV79:AV80"/>
    <mergeCell ref="A81:B81"/>
    <mergeCell ref="A82:B82"/>
    <mergeCell ref="A83:B83"/>
    <mergeCell ref="A84:B84"/>
    <mergeCell ref="AK79:AK80"/>
    <mergeCell ref="AL79:AL80"/>
    <mergeCell ref="AM79:AM80"/>
    <mergeCell ref="AN79:AN80"/>
    <mergeCell ref="AO79:AO80"/>
    <mergeCell ref="AP79:AP80"/>
    <mergeCell ref="AE79:AE80"/>
    <mergeCell ref="AF79:AF80"/>
    <mergeCell ref="AG79:AG80"/>
    <mergeCell ref="AH79:AH80"/>
    <mergeCell ref="AI79:AI80"/>
    <mergeCell ref="AJ79:AJ80"/>
    <mergeCell ref="AC79:AC80"/>
    <mergeCell ref="AD79:AD80"/>
    <mergeCell ref="W79:W80"/>
    <mergeCell ref="X79:X80"/>
    <mergeCell ref="Y79:Y80"/>
    <mergeCell ref="Z79:Z80"/>
    <mergeCell ref="AA79:AA80"/>
    <mergeCell ref="G79:G80"/>
    <mergeCell ref="H79:H80"/>
    <mergeCell ref="I79:I80"/>
    <mergeCell ref="J79:J80"/>
    <mergeCell ref="A76:B76"/>
    <mergeCell ref="A77:B77"/>
    <mergeCell ref="A78:B78"/>
    <mergeCell ref="A79:B80"/>
    <mergeCell ref="C79:C80"/>
    <mergeCell ref="D79:D80"/>
    <mergeCell ref="AU72:AU73"/>
    <mergeCell ref="P72:P73"/>
    <mergeCell ref="Q72:Q73"/>
    <mergeCell ref="R72:R73"/>
    <mergeCell ref="S72:S73"/>
    <mergeCell ref="T72:T73"/>
    <mergeCell ref="I72:I73"/>
    <mergeCell ref="J72:J73"/>
    <mergeCell ref="K72:K73"/>
    <mergeCell ref="L72:L73"/>
    <mergeCell ref="M72:M73"/>
    <mergeCell ref="N72:N73"/>
    <mergeCell ref="X72:X73"/>
    <mergeCell ref="Y72:Y73"/>
    <mergeCell ref="Z72:Z73"/>
    <mergeCell ref="O72:O73"/>
    <mergeCell ref="C72:C73"/>
    <mergeCell ref="D72:D73"/>
    <mergeCell ref="E72:E73"/>
    <mergeCell ref="F72:F73"/>
    <mergeCell ref="AV72:AV73"/>
    <mergeCell ref="A74:B74"/>
    <mergeCell ref="A75:B75"/>
    <mergeCell ref="AI72:AI73"/>
    <mergeCell ref="AJ72:AJ73"/>
    <mergeCell ref="AK72:AK73"/>
    <mergeCell ref="AL72:AL73"/>
    <mergeCell ref="AM72:AM73"/>
    <mergeCell ref="AN72:AN73"/>
    <mergeCell ref="AE72:AE73"/>
    <mergeCell ref="AF72:AF73"/>
    <mergeCell ref="AG72:AG73"/>
    <mergeCell ref="AH72:AH73"/>
    <mergeCell ref="AA72:AA73"/>
    <mergeCell ref="AB72:AB73"/>
    <mergeCell ref="AC72:AC73"/>
    <mergeCell ref="AD72:AD73"/>
    <mergeCell ref="U72:U73"/>
    <mergeCell ref="V72:V73"/>
    <mergeCell ref="W72:W73"/>
    <mergeCell ref="A67:B67"/>
    <mergeCell ref="A68:B68"/>
    <mergeCell ref="A69:B69"/>
    <mergeCell ref="A70:B70"/>
    <mergeCell ref="A71:B71"/>
    <mergeCell ref="A72:B73"/>
    <mergeCell ref="AM65:AM66"/>
    <mergeCell ref="S65:S66"/>
    <mergeCell ref="T65:T66"/>
    <mergeCell ref="U65:U66"/>
    <mergeCell ref="V65:V66"/>
    <mergeCell ref="W65:W66"/>
    <mergeCell ref="X65:X66"/>
    <mergeCell ref="M65:M66"/>
    <mergeCell ref="N65:N66"/>
    <mergeCell ref="O65:O66"/>
    <mergeCell ref="P65:P66"/>
    <mergeCell ref="Q65:Q66"/>
    <mergeCell ref="R65:R66"/>
    <mergeCell ref="G65:G66"/>
    <mergeCell ref="H65:H66"/>
    <mergeCell ref="I65:I66"/>
    <mergeCell ref="AE65:AE66"/>
    <mergeCell ref="AF65:AF66"/>
    <mergeCell ref="Y65:Y66"/>
    <mergeCell ref="Z65:Z66"/>
    <mergeCell ref="AA65:AA66"/>
    <mergeCell ref="AB65:AB66"/>
    <mergeCell ref="AC65:AC66"/>
    <mergeCell ref="AD65:AD66"/>
    <mergeCell ref="G72:G73"/>
    <mergeCell ref="H72:H73"/>
    <mergeCell ref="AP65:AP66"/>
    <mergeCell ref="J65:J66"/>
    <mergeCell ref="K65:K66"/>
    <mergeCell ref="L65:L66"/>
    <mergeCell ref="AO72:AO73"/>
    <mergeCell ref="AP72:AP73"/>
    <mergeCell ref="AU65:AU66"/>
    <mergeCell ref="AV65:AV66"/>
    <mergeCell ref="AG65:AG66"/>
    <mergeCell ref="AH65:AH66"/>
    <mergeCell ref="AI65:AI66"/>
    <mergeCell ref="AJ65:AJ66"/>
    <mergeCell ref="AK65:AK66"/>
    <mergeCell ref="AL65:AL66"/>
    <mergeCell ref="AQ65:AQ66"/>
    <mergeCell ref="AR65:AR66"/>
    <mergeCell ref="AS65:AS66"/>
    <mergeCell ref="AT65:AT66"/>
    <mergeCell ref="AN65:AN66"/>
    <mergeCell ref="AO65:AO66"/>
    <mergeCell ref="A64:B64"/>
    <mergeCell ref="A65:B66"/>
    <mergeCell ref="C65:C66"/>
    <mergeCell ref="D65:D66"/>
    <mergeCell ref="E65:E66"/>
    <mergeCell ref="F65:F66"/>
    <mergeCell ref="AU58:AU59"/>
    <mergeCell ref="AV58:AV59"/>
    <mergeCell ref="A60:B60"/>
    <mergeCell ref="A61:B61"/>
    <mergeCell ref="A62:B62"/>
    <mergeCell ref="A63:B63"/>
    <mergeCell ref="AK58:AK59"/>
    <mergeCell ref="AL58:AL59"/>
    <mergeCell ref="AM58:AM59"/>
    <mergeCell ref="AN58:AN59"/>
    <mergeCell ref="AO58:AO59"/>
    <mergeCell ref="AP58:AP59"/>
    <mergeCell ref="AE58:AE59"/>
    <mergeCell ref="AF58:AF59"/>
    <mergeCell ref="AG58:AG59"/>
    <mergeCell ref="AH58:AH59"/>
    <mergeCell ref="AI58:AI59"/>
    <mergeCell ref="AJ58:AJ59"/>
    <mergeCell ref="AC58:AC59"/>
    <mergeCell ref="AD58:AD59"/>
    <mergeCell ref="W58:W59"/>
    <mergeCell ref="X58:X59"/>
    <mergeCell ref="Y58:Y59"/>
    <mergeCell ref="Z58:Z59"/>
    <mergeCell ref="AA58:AA59"/>
    <mergeCell ref="AB58:AB59"/>
    <mergeCell ref="Q58:Q59"/>
    <mergeCell ref="R58:R59"/>
    <mergeCell ref="S58:S59"/>
    <mergeCell ref="T58:T59"/>
    <mergeCell ref="U58:U59"/>
    <mergeCell ref="V58:V59"/>
    <mergeCell ref="K58:K59"/>
    <mergeCell ref="L58:L59"/>
    <mergeCell ref="M58:M59"/>
    <mergeCell ref="N58:N59"/>
    <mergeCell ref="O58:O59"/>
    <mergeCell ref="P58:P59"/>
    <mergeCell ref="E58:E59"/>
    <mergeCell ref="F58:F59"/>
    <mergeCell ref="G58:G59"/>
    <mergeCell ref="H58:H59"/>
    <mergeCell ref="I58:I59"/>
    <mergeCell ref="J58:J59"/>
    <mergeCell ref="A55:B55"/>
    <mergeCell ref="A56:B56"/>
    <mergeCell ref="A57:B57"/>
    <mergeCell ref="A58:B59"/>
    <mergeCell ref="C58:C59"/>
    <mergeCell ref="D58:D59"/>
    <mergeCell ref="AO51:AO52"/>
    <mergeCell ref="AP51:AP52"/>
    <mergeCell ref="AU51:AU52"/>
    <mergeCell ref="X51:X52"/>
    <mergeCell ref="Y51:Y52"/>
    <mergeCell ref="Z51:Z52"/>
    <mergeCell ref="O51:O52"/>
    <mergeCell ref="P51:P52"/>
    <mergeCell ref="Q51:Q52"/>
    <mergeCell ref="R51:R52"/>
    <mergeCell ref="S51:S52"/>
    <mergeCell ref="T51:T52"/>
    <mergeCell ref="V51:V52"/>
    <mergeCell ref="W51:W52"/>
    <mergeCell ref="I51:I52"/>
    <mergeCell ref="J51:J52"/>
    <mergeCell ref="K51:K52"/>
    <mergeCell ref="L51:L52"/>
    <mergeCell ref="M51:M52"/>
    <mergeCell ref="N51:N52"/>
    <mergeCell ref="AV51:AV52"/>
    <mergeCell ref="A53:B53"/>
    <mergeCell ref="A54:B54"/>
    <mergeCell ref="AI51:AI52"/>
    <mergeCell ref="AJ51:AJ52"/>
    <mergeCell ref="AK51:AK52"/>
    <mergeCell ref="AL51:AL52"/>
    <mergeCell ref="AM51:AM52"/>
    <mergeCell ref="AN51:AN52"/>
    <mergeCell ref="AE51:AE52"/>
    <mergeCell ref="AF51:AF52"/>
    <mergeCell ref="AG51:AG52"/>
    <mergeCell ref="AH51:AH52"/>
    <mergeCell ref="AA51:AA52"/>
    <mergeCell ref="AB51:AB52"/>
    <mergeCell ref="AC51:AC52"/>
    <mergeCell ref="AD51:AD52"/>
    <mergeCell ref="U51:U52"/>
    <mergeCell ref="C51:C52"/>
    <mergeCell ref="D51:D52"/>
    <mergeCell ref="E51:E52"/>
    <mergeCell ref="F51:F52"/>
    <mergeCell ref="G51:G52"/>
    <mergeCell ref="H51:H52"/>
    <mergeCell ref="A46:B46"/>
    <mergeCell ref="A47:B47"/>
    <mergeCell ref="A48:B48"/>
    <mergeCell ref="A49:B49"/>
    <mergeCell ref="A50:B50"/>
    <mergeCell ref="A51:B52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M8:AM9"/>
    <mergeCell ref="AN8:AN9"/>
    <mergeCell ref="AO8:AO9"/>
    <mergeCell ref="P8:P9"/>
    <mergeCell ref="Q8:Q9"/>
    <mergeCell ref="R8:R9"/>
    <mergeCell ref="AE8:AE9"/>
    <mergeCell ref="AF8:AF9"/>
    <mergeCell ref="Y8:Y9"/>
    <mergeCell ref="Z8:Z9"/>
    <mergeCell ref="AA8:AA9"/>
    <mergeCell ref="AB8:AB9"/>
    <mergeCell ref="AC8:AC9"/>
    <mergeCell ref="AD8:AD9"/>
    <mergeCell ref="A8:B9"/>
    <mergeCell ref="C8:C9"/>
    <mergeCell ref="D8:D9"/>
    <mergeCell ref="E8:E9"/>
    <mergeCell ref="AP8:AP9"/>
    <mergeCell ref="AU8:AU9"/>
    <mergeCell ref="AV8:AV9"/>
    <mergeCell ref="AG8:AG9"/>
    <mergeCell ref="AH8:AH9"/>
    <mergeCell ref="AI8:AI9"/>
    <mergeCell ref="AJ8:AJ9"/>
    <mergeCell ref="AK8:AK9"/>
    <mergeCell ref="AL8:AL9"/>
    <mergeCell ref="AQ8:AQ9"/>
    <mergeCell ref="AR8:AR9"/>
    <mergeCell ref="AS8:AS9"/>
    <mergeCell ref="AT8:AT9"/>
    <mergeCell ref="F8:F9"/>
    <mergeCell ref="S5:T6"/>
    <mergeCell ref="U5:V6"/>
    <mergeCell ref="W5:X6"/>
    <mergeCell ref="Y5:Z6"/>
    <mergeCell ref="G8:G9"/>
    <mergeCell ref="H8:H9"/>
    <mergeCell ref="I8:I9"/>
    <mergeCell ref="J8:J9"/>
    <mergeCell ref="K8:K9"/>
    <mergeCell ref="L8:L9"/>
    <mergeCell ref="S8:S9"/>
    <mergeCell ref="T8:T9"/>
    <mergeCell ref="U8:U9"/>
    <mergeCell ref="V8:V9"/>
    <mergeCell ref="W8:W9"/>
    <mergeCell ref="X8:X9"/>
    <mergeCell ref="M8:M9"/>
    <mergeCell ref="N8:N9"/>
    <mergeCell ref="O8:O9"/>
    <mergeCell ref="B1:AU4"/>
    <mergeCell ref="A5:B7"/>
    <mergeCell ref="C5:D6"/>
    <mergeCell ref="E5:F6"/>
    <mergeCell ref="G5:H6"/>
    <mergeCell ref="I5:J6"/>
    <mergeCell ref="K5:L6"/>
    <mergeCell ref="M5:N6"/>
    <mergeCell ref="O5:P6"/>
    <mergeCell ref="Q5:R6"/>
    <mergeCell ref="AM5:AP6"/>
    <mergeCell ref="AU5:AV6"/>
    <mergeCell ref="AA5:AB6"/>
    <mergeCell ref="AC5:AD6"/>
    <mergeCell ref="AE5:AH6"/>
    <mergeCell ref="AI5:AL6"/>
    <mergeCell ref="AQ5:AT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132"/>
  <sheetViews>
    <sheetView zoomScale="83" zoomScaleNormal="83" workbookViewId="0">
      <selection sqref="A1:XFD1048576"/>
    </sheetView>
  </sheetViews>
  <sheetFormatPr defaultRowHeight="14.4"/>
  <cols>
    <col min="2" max="2" width="12.5546875" customWidth="1"/>
    <col min="3" max="3" width="13.6640625" hidden="1" customWidth="1"/>
    <col min="4" max="4" width="12.6640625" hidden="1" customWidth="1"/>
    <col min="5" max="5" width="14" hidden="1" customWidth="1"/>
    <col min="6" max="6" width="12.33203125" hidden="1" customWidth="1"/>
    <col min="7" max="7" width="12.5546875" hidden="1" customWidth="1"/>
    <col min="8" max="8" width="12.6640625" hidden="1" customWidth="1"/>
    <col min="9" max="9" width="14.109375" hidden="1" customWidth="1"/>
    <col min="10" max="10" width="14" hidden="1" customWidth="1"/>
    <col min="11" max="11" width="12.6640625" hidden="1" customWidth="1"/>
    <col min="12" max="12" width="13.88671875" hidden="1" customWidth="1"/>
    <col min="13" max="13" width="15.109375" hidden="1" customWidth="1"/>
    <col min="14" max="14" width="13.6640625" hidden="1" customWidth="1"/>
    <col min="15" max="15" width="13.109375" hidden="1" customWidth="1"/>
    <col min="16" max="16" width="13.88671875" hidden="1" customWidth="1"/>
    <col min="17" max="17" width="14.33203125" hidden="1" customWidth="1"/>
    <col min="18" max="18" width="14.44140625" hidden="1" customWidth="1"/>
    <col min="19" max="19" width="15" hidden="1" customWidth="1"/>
    <col min="20" max="20" width="13.33203125" hidden="1" customWidth="1"/>
    <col min="21" max="21" width="16" hidden="1" customWidth="1"/>
    <col min="22" max="22" width="13.109375" hidden="1" customWidth="1"/>
    <col min="23" max="23" width="13.33203125" hidden="1" customWidth="1"/>
    <col min="24" max="24" width="14.109375" hidden="1" customWidth="1"/>
    <col min="25" max="25" width="14.33203125" hidden="1" customWidth="1"/>
    <col min="26" max="26" width="13.33203125" hidden="1" customWidth="1"/>
    <col min="27" max="27" width="13.44140625" hidden="1" customWidth="1"/>
    <col min="28" max="28" width="12.5546875" hidden="1" customWidth="1"/>
    <col min="29" max="29" width="13.33203125" hidden="1" customWidth="1"/>
    <col min="30" max="30" width="14" hidden="1" customWidth="1"/>
    <col min="31" max="31" width="15.77734375" customWidth="1"/>
    <col min="32" max="34" width="14" customWidth="1"/>
    <col min="35" max="35" width="16" customWidth="1"/>
    <col min="36" max="38" width="14" customWidth="1"/>
    <col min="39" max="39" width="16" customWidth="1"/>
    <col min="40" max="42" width="14" customWidth="1"/>
    <col min="43" max="43" width="15.77734375" customWidth="1"/>
    <col min="44" max="44" width="17.44140625" customWidth="1"/>
    <col min="45" max="46" width="14" customWidth="1"/>
    <col min="47" max="47" width="10.33203125" customWidth="1"/>
    <col min="48" max="48" width="9.44140625" customWidth="1"/>
  </cols>
  <sheetData>
    <row r="1" spans="1:52">
      <c r="B1" s="93" t="s">
        <v>20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</row>
    <row r="2" spans="1:52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</row>
    <row r="3" spans="1:52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</row>
    <row r="4" spans="1:52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</row>
    <row r="5" spans="1:52">
      <c r="A5" s="95" t="s">
        <v>0</v>
      </c>
      <c r="B5" s="96"/>
      <c r="C5" s="101" t="s">
        <v>25</v>
      </c>
      <c r="D5" s="102"/>
      <c r="E5" s="101" t="s">
        <v>26</v>
      </c>
      <c r="F5" s="102"/>
      <c r="G5" s="101" t="s">
        <v>27</v>
      </c>
      <c r="H5" s="102"/>
      <c r="I5" s="101" t="s">
        <v>28</v>
      </c>
      <c r="J5" s="102"/>
      <c r="K5" s="101" t="s">
        <v>29</v>
      </c>
      <c r="L5" s="102"/>
      <c r="M5" s="101" t="s">
        <v>30</v>
      </c>
      <c r="N5" s="102"/>
      <c r="O5" s="101" t="s">
        <v>31</v>
      </c>
      <c r="P5" s="102"/>
      <c r="Q5" s="101" t="s">
        <v>32</v>
      </c>
      <c r="R5" s="102"/>
      <c r="S5" s="101" t="s">
        <v>33</v>
      </c>
      <c r="T5" s="102"/>
      <c r="U5" s="101" t="s">
        <v>34</v>
      </c>
      <c r="V5" s="102"/>
      <c r="W5" s="101" t="s">
        <v>35</v>
      </c>
      <c r="X5" s="102"/>
      <c r="Y5" s="101" t="s">
        <v>36</v>
      </c>
      <c r="Z5" s="102"/>
      <c r="AA5" s="101" t="s">
        <v>38</v>
      </c>
      <c r="AB5" s="115"/>
      <c r="AC5" s="105">
        <v>42736</v>
      </c>
      <c r="AD5" s="115"/>
      <c r="AE5" s="118">
        <v>43466</v>
      </c>
      <c r="AF5" s="106"/>
      <c r="AG5" s="106"/>
      <c r="AH5" s="107"/>
      <c r="AI5" s="105">
        <v>43831</v>
      </c>
      <c r="AJ5" s="106"/>
      <c r="AK5" s="106"/>
      <c r="AL5" s="107"/>
      <c r="AM5" s="105">
        <v>44197</v>
      </c>
      <c r="AN5" s="106"/>
      <c r="AO5" s="106"/>
      <c r="AP5" s="107"/>
      <c r="AQ5" s="105">
        <v>44256</v>
      </c>
      <c r="AR5" s="106"/>
      <c r="AS5" s="106"/>
      <c r="AT5" s="107"/>
      <c r="AU5" s="111" t="s">
        <v>6</v>
      </c>
      <c r="AV5" s="112"/>
    </row>
    <row r="6" spans="1:52">
      <c r="A6" s="97"/>
      <c r="B6" s="98"/>
      <c r="C6" s="103"/>
      <c r="D6" s="104"/>
      <c r="E6" s="103"/>
      <c r="F6" s="104"/>
      <c r="G6" s="103"/>
      <c r="H6" s="104"/>
      <c r="I6" s="103"/>
      <c r="J6" s="104"/>
      <c r="K6" s="103"/>
      <c r="L6" s="104"/>
      <c r="M6" s="103"/>
      <c r="N6" s="104"/>
      <c r="O6" s="103"/>
      <c r="P6" s="104"/>
      <c r="Q6" s="103"/>
      <c r="R6" s="104"/>
      <c r="S6" s="103"/>
      <c r="T6" s="104"/>
      <c r="U6" s="103"/>
      <c r="V6" s="104"/>
      <c r="W6" s="103"/>
      <c r="X6" s="104"/>
      <c r="Y6" s="103"/>
      <c r="Z6" s="104"/>
      <c r="AA6" s="116"/>
      <c r="AB6" s="117"/>
      <c r="AC6" s="116"/>
      <c r="AD6" s="117"/>
      <c r="AE6" s="108"/>
      <c r="AF6" s="109"/>
      <c r="AG6" s="109"/>
      <c r="AH6" s="110"/>
      <c r="AI6" s="108"/>
      <c r="AJ6" s="109"/>
      <c r="AK6" s="109"/>
      <c r="AL6" s="110"/>
      <c r="AM6" s="108"/>
      <c r="AN6" s="109"/>
      <c r="AO6" s="109"/>
      <c r="AP6" s="110"/>
      <c r="AQ6" s="108"/>
      <c r="AR6" s="109"/>
      <c r="AS6" s="109"/>
      <c r="AT6" s="110"/>
      <c r="AU6" s="113"/>
      <c r="AV6" s="114"/>
    </row>
    <row r="7" spans="1:52" ht="43.2">
      <c r="A7" s="99"/>
      <c r="B7" s="100"/>
      <c r="C7" s="11" t="s">
        <v>5</v>
      </c>
      <c r="D7" s="11" t="s">
        <v>12</v>
      </c>
      <c r="E7" s="11" t="s">
        <v>5</v>
      </c>
      <c r="F7" s="11" t="s">
        <v>12</v>
      </c>
      <c r="G7" s="11" t="s">
        <v>5</v>
      </c>
      <c r="H7" s="11" t="s">
        <v>12</v>
      </c>
      <c r="I7" s="11" t="s">
        <v>5</v>
      </c>
      <c r="J7" s="11" t="s">
        <v>12</v>
      </c>
      <c r="K7" s="11" t="s">
        <v>5</v>
      </c>
      <c r="L7" s="11" t="s">
        <v>12</v>
      </c>
      <c r="M7" s="11" t="s">
        <v>5</v>
      </c>
      <c r="N7" s="11" t="s">
        <v>12</v>
      </c>
      <c r="O7" s="11" t="s">
        <v>5</v>
      </c>
      <c r="P7" s="11" t="s">
        <v>12</v>
      </c>
      <c r="Q7" s="11" t="s">
        <v>5</v>
      </c>
      <c r="R7" s="11" t="s">
        <v>12</v>
      </c>
      <c r="S7" s="11" t="s">
        <v>5</v>
      </c>
      <c r="T7" s="11" t="s">
        <v>12</v>
      </c>
      <c r="U7" s="11" t="s">
        <v>5</v>
      </c>
      <c r="V7" s="11" t="s">
        <v>12</v>
      </c>
      <c r="W7" s="11" t="s">
        <v>5</v>
      </c>
      <c r="X7" s="11" t="s">
        <v>12</v>
      </c>
      <c r="Y7" s="11" t="s">
        <v>5</v>
      </c>
      <c r="Z7" s="11" t="s">
        <v>12</v>
      </c>
      <c r="AA7" s="17" t="s">
        <v>5</v>
      </c>
      <c r="AB7" s="11" t="s">
        <v>40</v>
      </c>
      <c r="AC7" s="24" t="s">
        <v>5</v>
      </c>
      <c r="AD7" s="24" t="s">
        <v>40</v>
      </c>
      <c r="AE7" s="24" t="s">
        <v>42</v>
      </c>
      <c r="AF7" s="24" t="s">
        <v>41</v>
      </c>
      <c r="AG7" s="24" t="s">
        <v>51</v>
      </c>
      <c r="AH7" s="24" t="s">
        <v>41</v>
      </c>
      <c r="AI7" s="24" t="s">
        <v>42</v>
      </c>
      <c r="AJ7" s="24" t="s">
        <v>41</v>
      </c>
      <c r="AK7" s="24" t="s">
        <v>51</v>
      </c>
      <c r="AL7" s="24" t="s">
        <v>41</v>
      </c>
      <c r="AM7" s="24" t="s">
        <v>42</v>
      </c>
      <c r="AN7" s="24" t="s">
        <v>41</v>
      </c>
      <c r="AO7" s="24" t="s">
        <v>51</v>
      </c>
      <c r="AP7" s="24" t="s">
        <v>41</v>
      </c>
      <c r="AQ7" s="24" t="s">
        <v>42</v>
      </c>
      <c r="AR7" s="24" t="s">
        <v>41</v>
      </c>
      <c r="AS7" s="24" t="s">
        <v>51</v>
      </c>
      <c r="AT7" s="24" t="s">
        <v>41</v>
      </c>
      <c r="AU7" s="24" t="s">
        <v>5</v>
      </c>
      <c r="AV7" s="24" t="s">
        <v>50</v>
      </c>
      <c r="AW7" s="49"/>
      <c r="AX7" s="49"/>
      <c r="AY7" s="49"/>
      <c r="AZ7" s="49"/>
    </row>
    <row r="8" spans="1:52">
      <c r="A8" s="133" t="s">
        <v>46</v>
      </c>
      <c r="B8" s="134"/>
      <c r="C8" s="119">
        <v>4339281.38</v>
      </c>
      <c r="D8" s="119">
        <v>301680.46000000002</v>
      </c>
      <c r="E8" s="119">
        <f t="shared" ref="E8:AD8" si="0">SUM(E10:E14)</f>
        <v>1585306.45</v>
      </c>
      <c r="F8" s="119">
        <f t="shared" si="0"/>
        <v>1801203.7999999998</v>
      </c>
      <c r="G8" s="119">
        <f t="shared" si="0"/>
        <v>1880710.93</v>
      </c>
      <c r="H8" s="119">
        <f t="shared" si="0"/>
        <v>1726285.8</v>
      </c>
      <c r="I8" s="119">
        <f t="shared" si="0"/>
        <v>2043940.37</v>
      </c>
      <c r="J8" s="119">
        <f t="shared" si="0"/>
        <v>1726285.8</v>
      </c>
      <c r="K8" s="119">
        <f t="shared" si="0"/>
        <v>1800545.93</v>
      </c>
      <c r="L8" s="119">
        <f t="shared" si="0"/>
        <v>1726285.8</v>
      </c>
      <c r="M8" s="119">
        <f t="shared" si="0"/>
        <v>1791783.17</v>
      </c>
      <c r="N8" s="119">
        <f t="shared" si="0"/>
        <v>1726285.8</v>
      </c>
      <c r="O8" s="119">
        <f t="shared" si="0"/>
        <v>1777486.53</v>
      </c>
      <c r="P8" s="119">
        <f t="shared" si="0"/>
        <v>1726285.8</v>
      </c>
      <c r="Q8" s="119">
        <f t="shared" si="0"/>
        <v>1764579</v>
      </c>
      <c r="R8" s="119">
        <f t="shared" si="0"/>
        <v>1726285.8</v>
      </c>
      <c r="S8" s="119">
        <f t="shared" si="0"/>
        <v>1758347.09</v>
      </c>
      <c r="T8" s="119">
        <f t="shared" si="0"/>
        <v>1726285.8</v>
      </c>
      <c r="U8" s="119">
        <f t="shared" si="0"/>
        <v>1761309.72</v>
      </c>
      <c r="V8" s="119">
        <f t="shared" si="0"/>
        <v>1726285.8</v>
      </c>
      <c r="W8" s="119">
        <f t="shared" si="0"/>
        <v>1748835.28</v>
      </c>
      <c r="X8" s="119">
        <f t="shared" si="0"/>
        <v>1726285.8</v>
      </c>
      <c r="Y8" s="119">
        <f t="shared" si="0"/>
        <v>1009374.5399999999</v>
      </c>
      <c r="Z8" s="119">
        <f t="shared" si="0"/>
        <v>1126468.53</v>
      </c>
      <c r="AA8" s="131">
        <f t="shared" si="0"/>
        <v>11386898.26</v>
      </c>
      <c r="AB8" s="131">
        <f t="shared" si="0"/>
        <v>8994676.1799999997</v>
      </c>
      <c r="AC8" s="131">
        <f t="shared" si="0"/>
        <v>3615198.68</v>
      </c>
      <c r="AD8" s="131">
        <f t="shared" si="0"/>
        <v>0</v>
      </c>
      <c r="AE8" s="121">
        <f>AE10+AE11+AE12+AE13+AE14</f>
        <v>42333749.980000004</v>
      </c>
      <c r="AF8" s="121">
        <v>0</v>
      </c>
      <c r="AG8" s="125">
        <v>0</v>
      </c>
      <c r="AH8" s="121">
        <v>0</v>
      </c>
      <c r="AI8" s="121">
        <f t="shared" ref="AI8:AT8" si="1">AI10+AI11+AI12+AI13+AI14</f>
        <v>8750479.9399999995</v>
      </c>
      <c r="AJ8" s="121">
        <f t="shared" si="1"/>
        <v>23845.269999999997</v>
      </c>
      <c r="AK8" s="121">
        <f t="shared" si="1"/>
        <v>571235</v>
      </c>
      <c r="AL8" s="121">
        <f t="shared" si="1"/>
        <v>571235</v>
      </c>
      <c r="AM8" s="121">
        <f t="shared" si="1"/>
        <v>354308.05</v>
      </c>
      <c r="AN8" s="121">
        <f t="shared" si="1"/>
        <v>325.33999999999997</v>
      </c>
      <c r="AO8" s="121">
        <f t="shared" si="1"/>
        <v>0</v>
      </c>
      <c r="AP8" s="121">
        <f t="shared" si="1"/>
        <v>0</v>
      </c>
      <c r="AQ8" s="161">
        <f t="shared" si="1"/>
        <v>10292723.370000001</v>
      </c>
      <c r="AR8" s="161">
        <f t="shared" si="1"/>
        <v>7813359.0300000003</v>
      </c>
      <c r="AS8" s="161">
        <f t="shared" si="1"/>
        <v>0</v>
      </c>
      <c r="AT8" s="161">
        <f t="shared" si="1"/>
        <v>0</v>
      </c>
      <c r="AU8" s="143">
        <f>AQ8/AM8-1</f>
        <v>28.050210318393841</v>
      </c>
      <c r="AV8" s="143" t="e">
        <f>AS8/AO8-1</f>
        <v>#DIV/0!</v>
      </c>
    </row>
    <row r="9" spans="1:52">
      <c r="A9" s="135"/>
      <c r="B9" s="136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32"/>
      <c r="AB9" s="132"/>
      <c r="AC9" s="132"/>
      <c r="AD9" s="132"/>
      <c r="AE9" s="122"/>
      <c r="AF9" s="122"/>
      <c r="AG9" s="126"/>
      <c r="AH9" s="122"/>
      <c r="AI9" s="122"/>
      <c r="AJ9" s="122"/>
      <c r="AK9" s="122"/>
      <c r="AL9" s="122"/>
      <c r="AM9" s="122"/>
      <c r="AN9" s="122"/>
      <c r="AO9" s="122"/>
      <c r="AP9" s="122"/>
      <c r="AQ9" s="162"/>
      <c r="AR9" s="162"/>
      <c r="AS9" s="162"/>
      <c r="AT9" s="162"/>
      <c r="AU9" s="144"/>
      <c r="AV9" s="144"/>
    </row>
    <row r="10" spans="1:52" ht="43.5" customHeight="1">
      <c r="A10" s="127" t="s">
        <v>10</v>
      </c>
      <c r="B10" s="128"/>
      <c r="C10" s="1"/>
      <c r="D10" s="1"/>
      <c r="E10" s="1"/>
      <c r="F10" s="1"/>
      <c r="G10" s="1">
        <f>1880710.93-1726285.8</f>
        <v>154425.12999999989</v>
      </c>
      <c r="H10" s="1"/>
      <c r="I10" s="1">
        <f>2043940.37-1726285.8</f>
        <v>317654.57000000007</v>
      </c>
      <c r="J10" s="1"/>
      <c r="K10" s="1">
        <f>1800545.93-1726285.8</f>
        <v>74260.129999999888</v>
      </c>
      <c r="L10" s="1"/>
      <c r="M10" s="1">
        <f>1791783.17-1726285.8</f>
        <v>65497.369999999879</v>
      </c>
      <c r="N10" s="1"/>
      <c r="O10" s="1">
        <f>1777486.53-1726285.8</f>
        <v>51200.729999999981</v>
      </c>
      <c r="P10" s="1"/>
      <c r="Q10" s="1">
        <v>38293.199999999997</v>
      </c>
      <c r="R10" s="1"/>
      <c r="S10" s="1"/>
      <c r="T10" s="1"/>
      <c r="U10" s="1"/>
      <c r="V10" s="1"/>
      <c r="W10" s="1"/>
      <c r="X10" s="1"/>
      <c r="Y10" s="1">
        <v>1195328.95</v>
      </c>
      <c r="Z10" s="1">
        <v>1126468.53</v>
      </c>
      <c r="AA10" s="19">
        <v>9260028.4399999995</v>
      </c>
      <c r="AB10" s="19">
        <v>8994676.1799999997</v>
      </c>
      <c r="AC10" s="19">
        <v>1203866.6499999999</v>
      </c>
      <c r="AD10" s="19"/>
      <c r="AE10" s="19">
        <f>416263.48+37900405.82+562292</f>
        <v>38878961.299999997</v>
      </c>
      <c r="AF10" s="19"/>
      <c r="AG10" s="19"/>
      <c r="AH10" s="19"/>
      <c r="AI10" s="19">
        <f>7760580.92-6672685.6</f>
        <v>1087895.3200000003</v>
      </c>
      <c r="AJ10" s="19">
        <v>18905.939999999999</v>
      </c>
      <c r="AK10" s="19">
        <v>571235</v>
      </c>
      <c r="AL10" s="19">
        <v>571235</v>
      </c>
      <c r="AM10" s="19">
        <v>157860.57999999999</v>
      </c>
      <c r="AN10" s="19">
        <v>325.33999999999997</v>
      </c>
      <c r="AO10" s="19"/>
      <c r="AP10" s="19">
        <v>0</v>
      </c>
      <c r="AQ10" s="59">
        <v>483607.71</v>
      </c>
      <c r="AR10" s="59">
        <v>9456.3799999999992</v>
      </c>
      <c r="AS10" s="59"/>
      <c r="AT10" s="59"/>
      <c r="AU10" s="66"/>
      <c r="AV10" s="66"/>
    </row>
    <row r="11" spans="1:52" ht="17.25" customHeight="1">
      <c r="A11" s="127" t="s">
        <v>7</v>
      </c>
      <c r="B11" s="128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9">
        <v>1010215.34</v>
      </c>
      <c r="AB11" s="19"/>
      <c r="AC11" s="19">
        <v>1531012.85</v>
      </c>
      <c r="AD11" s="19"/>
      <c r="AE11" s="19">
        <f>2206899.92+113179.6</f>
        <v>2320079.52</v>
      </c>
      <c r="AF11" s="19"/>
      <c r="AG11" s="19"/>
      <c r="AH11" s="19"/>
      <c r="AI11" s="19">
        <v>662186.56000000006</v>
      </c>
      <c r="AJ11" s="19"/>
      <c r="AK11" s="19"/>
      <c r="AL11" s="19"/>
      <c r="AM11" s="19"/>
      <c r="AN11" s="19"/>
      <c r="AO11" s="19"/>
      <c r="AP11" s="19"/>
      <c r="AQ11" s="59">
        <v>1487588.47</v>
      </c>
      <c r="AR11" s="59">
        <v>164115.74</v>
      </c>
      <c r="AS11" s="59"/>
      <c r="AT11" s="59"/>
      <c r="AU11" s="66"/>
      <c r="AV11" s="66"/>
    </row>
    <row r="12" spans="1:52" ht="24.6" customHeight="1">
      <c r="A12" s="127" t="s">
        <v>8</v>
      </c>
      <c r="B12" s="12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>
        <v>-16948.759999999998</v>
      </c>
      <c r="Z12" s="1"/>
      <c r="AA12" s="19">
        <v>1116654.48</v>
      </c>
      <c r="AB12" s="19"/>
      <c r="AC12" s="19">
        <v>880319.18</v>
      </c>
      <c r="AD12" s="19"/>
      <c r="AE12" s="19">
        <f>1078354.1</f>
        <v>1078354.1000000001</v>
      </c>
      <c r="AF12" s="19"/>
      <c r="AG12" s="19"/>
      <c r="AH12" s="19"/>
      <c r="AI12" s="19">
        <v>327712.46000000002</v>
      </c>
      <c r="AJ12" s="19">
        <v>4939.33</v>
      </c>
      <c r="AK12" s="19"/>
      <c r="AL12" s="19"/>
      <c r="AM12" s="19"/>
      <c r="AN12" s="19"/>
      <c r="AO12" s="19"/>
      <c r="AP12" s="19"/>
      <c r="AQ12" s="59">
        <v>770319.16</v>
      </c>
      <c r="AR12" s="59">
        <v>88578.880000000005</v>
      </c>
      <c r="AS12" s="59"/>
      <c r="AT12" s="59"/>
      <c r="AU12" s="66"/>
      <c r="AV12" s="66"/>
    </row>
    <row r="13" spans="1:52">
      <c r="A13" s="127" t="s">
        <v>9</v>
      </c>
      <c r="B13" s="128"/>
      <c r="C13" s="1"/>
      <c r="D13" s="1"/>
      <c r="E13" s="1">
        <v>74918</v>
      </c>
      <c r="F13" s="1">
        <v>74918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>
        <v>-169005.65</v>
      </c>
      <c r="Z13" s="1"/>
      <c r="AA13" s="12"/>
      <c r="AB13" s="12"/>
      <c r="AC13" s="19"/>
      <c r="AD13" s="19"/>
      <c r="AE13" s="19">
        <v>56355.06</v>
      </c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59"/>
      <c r="AR13" s="59"/>
      <c r="AS13" s="59"/>
      <c r="AT13" s="59"/>
      <c r="AU13" s="66"/>
      <c r="AV13" s="66"/>
    </row>
    <row r="14" spans="1:52">
      <c r="A14" s="127" t="s">
        <v>14</v>
      </c>
      <c r="B14" s="128"/>
      <c r="C14" s="1"/>
      <c r="D14" s="1"/>
      <c r="E14" s="1">
        <v>1510388.45</v>
      </c>
      <c r="F14" s="1">
        <f>169005.65+1557280.15</f>
        <v>1726285.7999999998</v>
      </c>
      <c r="G14" s="1">
        <v>1726285.8</v>
      </c>
      <c r="H14" s="1">
        <v>1726285.8</v>
      </c>
      <c r="I14" s="1">
        <v>1726285.8</v>
      </c>
      <c r="J14" s="1">
        <v>1726285.8</v>
      </c>
      <c r="K14" s="1">
        <v>1726285.8</v>
      </c>
      <c r="L14" s="1">
        <v>1726285.8</v>
      </c>
      <c r="M14" s="1">
        <v>1726285.8</v>
      </c>
      <c r="N14" s="1">
        <v>1726285.8</v>
      </c>
      <c r="O14" s="1">
        <v>1726285.8</v>
      </c>
      <c r="P14" s="1">
        <v>1726285.8</v>
      </c>
      <c r="Q14" s="1">
        <v>1726285.8</v>
      </c>
      <c r="R14" s="1">
        <v>1726285.8</v>
      </c>
      <c r="S14" s="1">
        <v>1758347.09</v>
      </c>
      <c r="T14" s="1">
        <v>1726285.8</v>
      </c>
      <c r="U14" s="1">
        <v>1761309.72</v>
      </c>
      <c r="V14" s="1">
        <v>1726285.8</v>
      </c>
      <c r="W14" s="1">
        <v>1748835.28</v>
      </c>
      <c r="X14" s="1">
        <v>1726285.8</v>
      </c>
      <c r="Y14" s="1"/>
      <c r="Z14" s="1"/>
      <c r="AA14" s="12"/>
      <c r="AB14" s="12"/>
      <c r="AC14" s="19"/>
      <c r="AD14" s="19"/>
      <c r="AE14" s="19"/>
      <c r="AF14" s="19"/>
      <c r="AG14" s="19"/>
      <c r="AH14" s="19"/>
      <c r="AI14" s="19">
        <v>6672685.5999999996</v>
      </c>
      <c r="AJ14" s="19"/>
      <c r="AK14" s="19"/>
      <c r="AL14" s="19"/>
      <c r="AM14" s="19">
        <v>196447.47</v>
      </c>
      <c r="AN14" s="19"/>
      <c r="AO14" s="19"/>
      <c r="AP14" s="19"/>
      <c r="AQ14" s="59">
        <v>7551208.0300000003</v>
      </c>
      <c r="AR14" s="59">
        <v>7551208.0300000003</v>
      </c>
      <c r="AS14" s="59"/>
      <c r="AT14" s="59"/>
      <c r="AU14" s="66"/>
      <c r="AV14" s="66"/>
    </row>
    <row r="15" spans="1:52">
      <c r="A15" s="129" t="s">
        <v>49</v>
      </c>
      <c r="B15" s="130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7"/>
      <c r="AB15" s="37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62">
        <f>AM16+AM17+AM18+AM19+AM20</f>
        <v>156091.94</v>
      </c>
      <c r="AN15" s="38">
        <f>AN16+AN17+AN18+AN19+AN20</f>
        <v>0</v>
      </c>
      <c r="AO15" s="38">
        <f t="shared" ref="AO15:AP15" si="2">AO16+AO17+AO18+AO19+AO20</f>
        <v>0</v>
      </c>
      <c r="AP15" s="38">
        <f t="shared" si="2"/>
        <v>0</v>
      </c>
      <c r="AQ15" s="60">
        <f>AQ16+AQ17+AQ18+AQ19+AQ20</f>
        <v>743740.3</v>
      </c>
      <c r="AR15" s="60">
        <f>AR16+AR17+AR18+AR19+AR20</f>
        <v>0</v>
      </c>
      <c r="AS15" s="60">
        <f t="shared" ref="AS15:AT15" si="3">AS16+AS17+AS18+AS19+AS20</f>
        <v>0</v>
      </c>
      <c r="AT15" s="60">
        <f t="shared" si="3"/>
        <v>0</v>
      </c>
      <c r="AU15" s="52">
        <f>AQ15/AM15-1</f>
        <v>3.7647578728280271</v>
      </c>
      <c r="AV15" s="53" t="e">
        <f>AO15/AK15-1</f>
        <v>#DIV/0!</v>
      </c>
    </row>
    <row r="16" spans="1:52" ht="44.25" customHeight="1">
      <c r="A16" s="127" t="s">
        <v>10</v>
      </c>
      <c r="B16" s="128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7"/>
      <c r="AB16" s="37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>
        <v>141091.94</v>
      </c>
      <c r="AN16" s="38"/>
      <c r="AO16" s="38"/>
      <c r="AP16" s="38"/>
      <c r="AQ16" s="54"/>
      <c r="AR16" s="54"/>
      <c r="AS16" s="54"/>
      <c r="AT16" s="54"/>
      <c r="AU16" s="53"/>
      <c r="AV16" s="53"/>
    </row>
    <row r="17" spans="1:48">
      <c r="A17" s="127" t="s">
        <v>7</v>
      </c>
      <c r="B17" s="128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7"/>
      <c r="AB17" s="37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54">
        <v>391888.38</v>
      </c>
      <c r="AR17" s="54"/>
      <c r="AS17" s="54"/>
      <c r="AT17" s="54"/>
      <c r="AU17" s="53"/>
      <c r="AV17" s="53"/>
    </row>
    <row r="18" spans="1:48" ht="29.4" customHeight="1">
      <c r="A18" s="127" t="s">
        <v>8</v>
      </c>
      <c r="B18" s="128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7"/>
      <c r="AB18" s="37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54">
        <v>205483.35</v>
      </c>
      <c r="AR18" s="44"/>
      <c r="AS18" s="54"/>
      <c r="AT18" s="54"/>
      <c r="AU18" s="53"/>
      <c r="AV18" s="53"/>
    </row>
    <row r="19" spans="1:48">
      <c r="A19" s="127" t="s">
        <v>9</v>
      </c>
      <c r="B19" s="128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7"/>
      <c r="AB19" s="37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>
        <v>15000</v>
      </c>
      <c r="AN19" s="38"/>
      <c r="AO19" s="38"/>
      <c r="AP19" s="38"/>
      <c r="AQ19" s="54"/>
      <c r="AR19" s="54"/>
      <c r="AS19" s="54"/>
      <c r="AT19" s="54"/>
      <c r="AU19" s="53"/>
      <c r="AV19" s="53"/>
    </row>
    <row r="20" spans="1:48">
      <c r="A20" s="127" t="s">
        <v>14</v>
      </c>
      <c r="B20" s="128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7"/>
      <c r="AB20" s="37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7"/>
      <c r="AN20" s="37"/>
      <c r="AO20" s="37"/>
      <c r="AP20" s="37"/>
      <c r="AQ20" s="54">
        <v>146368.57</v>
      </c>
      <c r="AR20" s="54"/>
      <c r="AS20" s="54"/>
      <c r="AT20" s="54"/>
      <c r="AU20" s="53"/>
      <c r="AV20" s="53"/>
    </row>
    <row r="21" spans="1:48">
      <c r="A21" s="129" t="s">
        <v>43</v>
      </c>
      <c r="B21" s="137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7"/>
      <c r="AB21" s="37"/>
      <c r="AC21" s="38"/>
      <c r="AD21" s="38"/>
      <c r="AE21" s="38"/>
      <c r="AF21" s="38"/>
      <c r="AG21" s="38"/>
      <c r="AH21" s="38"/>
      <c r="AI21" s="62">
        <f>AI22+AI23+AI24+AI25+AI26</f>
        <v>26697082.129999999</v>
      </c>
      <c r="AJ21" s="62">
        <f>AJ22+AJ23+AJ24+AJ25+AJ26</f>
        <v>0</v>
      </c>
      <c r="AK21" s="62">
        <f t="shared" ref="AK21:AL21" si="4">AK22+AK23+AK24+AK25+AK26</f>
        <v>0</v>
      </c>
      <c r="AL21" s="62">
        <f t="shared" si="4"/>
        <v>0</v>
      </c>
      <c r="AM21" s="62">
        <f>AM22+AM23+AM24+AM25+AM26</f>
        <v>7046213.1400000006</v>
      </c>
      <c r="AN21" s="62">
        <f>AN22+AN23+AN24+AN25+AN26</f>
        <v>0</v>
      </c>
      <c r="AO21" s="62">
        <f t="shared" ref="AO21:AP21" si="5">AO22+AO23+AO24+AO25+AO26</f>
        <v>0</v>
      </c>
      <c r="AP21" s="62">
        <f t="shared" si="5"/>
        <v>0</v>
      </c>
      <c r="AQ21" s="60">
        <f>AQ22+AQ23+AQ24+AQ25+AQ26</f>
        <v>6978527.0899999999</v>
      </c>
      <c r="AR21" s="60">
        <f>AR22+AR23+AR24+AR25+AR26</f>
        <v>0</v>
      </c>
      <c r="AS21" s="60">
        <f t="shared" ref="AS21:AT21" si="6">AS22+AS23+AS24+AS25+AS26</f>
        <v>0</v>
      </c>
      <c r="AT21" s="60">
        <f t="shared" si="6"/>
        <v>0</v>
      </c>
      <c r="AU21" s="52">
        <f>AQ21/AM21-1</f>
        <v>-9.6060179638564058E-3</v>
      </c>
      <c r="AV21" s="53" t="e">
        <f>AS21/AO21-1</f>
        <v>#DIV/0!</v>
      </c>
    </row>
    <row r="22" spans="1:48" ht="43.2" customHeight="1">
      <c r="A22" s="127" t="s">
        <v>10</v>
      </c>
      <c r="B22" s="128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7"/>
      <c r="AB22" s="37"/>
      <c r="AC22" s="38"/>
      <c r="AD22" s="38"/>
      <c r="AE22" s="38"/>
      <c r="AF22" s="38"/>
      <c r="AG22" s="38"/>
      <c r="AH22" s="38"/>
      <c r="AI22" s="38">
        <f>25203858.74+194052.76</f>
        <v>25397911.5</v>
      </c>
      <c r="AJ22" s="38">
        <v>0</v>
      </c>
      <c r="AK22" s="38"/>
      <c r="AL22" s="38"/>
      <c r="AM22" s="38">
        <v>6735942.4500000002</v>
      </c>
      <c r="AN22" s="38"/>
      <c r="AO22" s="38"/>
      <c r="AP22" s="38"/>
      <c r="AQ22" s="54">
        <v>6735942.4500000002</v>
      </c>
      <c r="AR22" s="54"/>
      <c r="AS22" s="54"/>
      <c r="AT22" s="54"/>
      <c r="AU22" s="52"/>
      <c r="AV22" s="53"/>
    </row>
    <row r="23" spans="1:48">
      <c r="A23" s="127" t="s">
        <v>7</v>
      </c>
      <c r="B23" s="128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/>
      <c r="AB23" s="37"/>
      <c r="AC23" s="38"/>
      <c r="AD23" s="38"/>
      <c r="AE23" s="38"/>
      <c r="AF23" s="38"/>
      <c r="AG23" s="38"/>
      <c r="AH23" s="38"/>
      <c r="AI23" s="38">
        <v>1250280.08</v>
      </c>
      <c r="AJ23" s="38"/>
      <c r="AK23" s="38"/>
      <c r="AL23" s="38"/>
      <c r="AM23" s="38">
        <v>209315.95</v>
      </c>
      <c r="AN23" s="62"/>
      <c r="AO23" s="62"/>
      <c r="AP23" s="38"/>
      <c r="AQ23" s="54">
        <v>150771.32999999999</v>
      </c>
      <c r="AR23" s="54"/>
      <c r="AS23" s="54"/>
      <c r="AT23" s="54"/>
      <c r="AU23" s="52"/>
      <c r="AV23" s="53"/>
    </row>
    <row r="24" spans="1:48" ht="29.4" customHeight="1">
      <c r="A24" s="127" t="s">
        <v>8</v>
      </c>
      <c r="B24" s="128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7"/>
      <c r="AB24" s="37"/>
      <c r="AC24" s="38"/>
      <c r="AD24" s="38"/>
      <c r="AE24" s="38"/>
      <c r="AF24" s="38"/>
      <c r="AG24" s="38"/>
      <c r="AH24" s="38"/>
      <c r="AI24" s="38">
        <v>48890.55</v>
      </c>
      <c r="AJ24" s="38"/>
      <c r="AK24" s="38"/>
      <c r="AL24" s="38"/>
      <c r="AM24" s="38">
        <v>100954.74</v>
      </c>
      <c r="AN24" s="62"/>
      <c r="AO24" s="62"/>
      <c r="AP24" s="38"/>
      <c r="AQ24" s="54">
        <v>91813.31</v>
      </c>
      <c r="AR24" s="54"/>
      <c r="AS24" s="54"/>
      <c r="AT24" s="54"/>
      <c r="AU24" s="52"/>
      <c r="AV24" s="53"/>
    </row>
    <row r="25" spans="1:48">
      <c r="A25" s="127" t="s">
        <v>9</v>
      </c>
      <c r="B25" s="128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7"/>
      <c r="AB25" s="37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62"/>
      <c r="AO25" s="62"/>
      <c r="AP25" s="38"/>
      <c r="AQ25" s="54"/>
      <c r="AR25" s="54"/>
      <c r="AS25" s="54"/>
      <c r="AT25" s="54"/>
      <c r="AU25" s="52"/>
      <c r="AV25" s="53"/>
    </row>
    <row r="26" spans="1:48">
      <c r="A26" s="127" t="s">
        <v>14</v>
      </c>
      <c r="B26" s="128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7"/>
      <c r="AB26" s="37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62"/>
      <c r="AO26" s="62"/>
      <c r="AP26" s="38"/>
      <c r="AQ26" s="37"/>
      <c r="AR26" s="37"/>
      <c r="AS26" s="37"/>
      <c r="AT26" s="37"/>
      <c r="AU26" s="51"/>
      <c r="AV26" s="39"/>
    </row>
    <row r="27" spans="1:48">
      <c r="A27" s="129" t="s">
        <v>44</v>
      </c>
      <c r="B27" s="137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7"/>
      <c r="AB27" s="37"/>
      <c r="AC27" s="38"/>
      <c r="AD27" s="38"/>
      <c r="AE27" s="38"/>
      <c r="AF27" s="38"/>
      <c r="AG27" s="38"/>
      <c r="AH27" s="38"/>
      <c r="AI27" s="62">
        <f>AI28+AI29+AI30+AI31+AI32</f>
        <v>6637461.5299999993</v>
      </c>
      <c r="AJ27" s="62">
        <f t="shared" ref="AJ27:AL27" si="7">AJ28+AJ29+AJ30+AJ31+AJ32</f>
        <v>0</v>
      </c>
      <c r="AK27" s="62">
        <v>0</v>
      </c>
      <c r="AL27" s="62">
        <f t="shared" si="7"/>
        <v>0</v>
      </c>
      <c r="AM27" s="62">
        <f>AM28+AM29+AM30+AM31+AM32</f>
        <v>9950491.6699999981</v>
      </c>
      <c r="AN27" s="62">
        <f t="shared" ref="AN27:AT27" si="8">AN28+AN29+AN30+AN31+AN32</f>
        <v>7551208.0300000003</v>
      </c>
      <c r="AO27" s="62">
        <f t="shared" si="8"/>
        <v>0</v>
      </c>
      <c r="AP27" s="62">
        <f t="shared" si="8"/>
        <v>0</v>
      </c>
      <c r="AQ27" s="65">
        <f>AQ28+AQ29+AQ30+AQ31+AQ32</f>
        <v>9306357.75</v>
      </c>
      <c r="AR27" s="65">
        <f t="shared" si="8"/>
        <v>7551208.0300000003</v>
      </c>
      <c r="AS27" s="65">
        <f t="shared" si="8"/>
        <v>7551208.0300000003</v>
      </c>
      <c r="AT27" s="65">
        <f t="shared" si="8"/>
        <v>7551208.0300000003</v>
      </c>
      <c r="AU27" s="52">
        <f>AQ27/AM27-1</f>
        <v>-6.4733878622502128E-2</v>
      </c>
      <c r="AV27" s="52" t="e">
        <f>AS27/AO27-1</f>
        <v>#DIV/0!</v>
      </c>
    </row>
    <row r="28" spans="1:48" ht="43.8" customHeight="1">
      <c r="A28" s="127" t="s">
        <v>10</v>
      </c>
      <c r="B28" s="128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7"/>
      <c r="AB28" s="37"/>
      <c r="AC28" s="38"/>
      <c r="AD28" s="38"/>
      <c r="AE28" s="38"/>
      <c r="AF28" s="38"/>
      <c r="AG28" s="38"/>
      <c r="AH28" s="38"/>
      <c r="AI28" s="38">
        <v>6054851.5499999998</v>
      </c>
      <c r="AJ28" s="38"/>
      <c r="AK28" s="38">
        <v>0</v>
      </c>
      <c r="AL28" s="38"/>
      <c r="AM28" s="38">
        <v>9699259.0299999993</v>
      </c>
      <c r="AN28" s="38">
        <v>7551208.0300000003</v>
      </c>
      <c r="AO28" s="38"/>
      <c r="AP28" s="38"/>
      <c r="AQ28" s="54">
        <v>8960011.2699999996</v>
      </c>
      <c r="AR28" s="54">
        <v>7551208.0300000003</v>
      </c>
      <c r="AS28" s="54">
        <v>7551208.0300000003</v>
      </c>
      <c r="AT28" s="54">
        <v>7551208.0300000003</v>
      </c>
      <c r="AU28" s="53"/>
      <c r="AV28" s="53"/>
    </row>
    <row r="29" spans="1:48">
      <c r="A29" s="127" t="s">
        <v>7</v>
      </c>
      <c r="B29" s="128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7"/>
      <c r="AB29" s="37"/>
      <c r="AC29" s="38"/>
      <c r="AD29" s="38"/>
      <c r="AE29" s="38"/>
      <c r="AF29" s="38"/>
      <c r="AG29" s="38"/>
      <c r="AH29" s="38"/>
      <c r="AI29" s="38">
        <v>433698.23</v>
      </c>
      <c r="AJ29" s="38"/>
      <c r="AK29" s="38"/>
      <c r="AL29" s="38"/>
      <c r="AM29" s="38">
        <v>119374.78</v>
      </c>
      <c r="AN29" s="62"/>
      <c r="AO29" s="62"/>
      <c r="AP29" s="38"/>
      <c r="AQ29" s="54">
        <v>231323.27</v>
      </c>
      <c r="AR29" s="54"/>
      <c r="AS29" s="54"/>
      <c r="AT29" s="54"/>
      <c r="AU29" s="53"/>
      <c r="AV29" s="53"/>
    </row>
    <row r="30" spans="1:48" ht="27.6" customHeight="1">
      <c r="A30" s="127" t="s">
        <v>8</v>
      </c>
      <c r="B30" s="128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7"/>
      <c r="AB30" s="37"/>
      <c r="AC30" s="38"/>
      <c r="AD30" s="38"/>
      <c r="AE30" s="38"/>
      <c r="AF30" s="38"/>
      <c r="AG30" s="38"/>
      <c r="AH30" s="38"/>
      <c r="AI30" s="38">
        <v>148911.75</v>
      </c>
      <c r="AJ30" s="38"/>
      <c r="AK30" s="38"/>
      <c r="AL30" s="38"/>
      <c r="AM30" s="38">
        <v>131857.85999999999</v>
      </c>
      <c r="AN30" s="62"/>
      <c r="AO30" s="62"/>
      <c r="AP30" s="38"/>
      <c r="AQ30" s="54">
        <v>115023.21</v>
      </c>
      <c r="AR30" s="54"/>
      <c r="AS30" s="54"/>
      <c r="AT30" s="54"/>
      <c r="AU30" s="53"/>
      <c r="AV30" s="53"/>
    </row>
    <row r="31" spans="1:48">
      <c r="A31" s="127" t="s">
        <v>9</v>
      </c>
      <c r="B31" s="128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7"/>
      <c r="AB31" s="37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62"/>
      <c r="AO31" s="62"/>
      <c r="AP31" s="38"/>
      <c r="AQ31" s="37"/>
      <c r="AR31" s="37"/>
      <c r="AS31" s="37"/>
      <c r="AT31" s="37"/>
      <c r="AU31" s="39"/>
      <c r="AV31" s="39"/>
    </row>
    <row r="32" spans="1:48">
      <c r="A32" s="127" t="s">
        <v>14</v>
      </c>
      <c r="B32" s="128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7"/>
      <c r="AB32" s="37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62"/>
      <c r="AO32" s="62"/>
      <c r="AP32" s="38"/>
      <c r="AQ32" s="37"/>
      <c r="AR32" s="37"/>
      <c r="AS32" s="37"/>
      <c r="AT32" s="37"/>
      <c r="AU32" s="39"/>
      <c r="AV32" s="39"/>
    </row>
    <row r="33" spans="1:48">
      <c r="A33" s="129" t="s">
        <v>45</v>
      </c>
      <c r="B33" s="130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7"/>
      <c r="AB33" s="37"/>
      <c r="AC33" s="38"/>
      <c r="AD33" s="38"/>
      <c r="AE33" s="38"/>
      <c r="AF33" s="38"/>
      <c r="AG33" s="38"/>
      <c r="AH33" s="38"/>
      <c r="AI33" s="62">
        <f t="shared" ref="AI33:AT33" si="9">AI34+AI35+AI36+AI37+AI38</f>
        <v>397801.93</v>
      </c>
      <c r="AJ33" s="62">
        <f t="shared" si="9"/>
        <v>0</v>
      </c>
      <c r="AK33" s="62">
        <f t="shared" si="9"/>
        <v>0</v>
      </c>
      <c r="AL33" s="62">
        <f t="shared" si="9"/>
        <v>0</v>
      </c>
      <c r="AM33" s="62">
        <f t="shared" si="9"/>
        <v>1912.76</v>
      </c>
      <c r="AN33" s="62">
        <f t="shared" si="9"/>
        <v>0</v>
      </c>
      <c r="AO33" s="62">
        <f t="shared" si="9"/>
        <v>0</v>
      </c>
      <c r="AP33" s="62">
        <f t="shared" si="9"/>
        <v>0</v>
      </c>
      <c r="AQ33" s="60">
        <f t="shared" si="9"/>
        <v>541024.33000000007</v>
      </c>
      <c r="AR33" s="60">
        <f t="shared" si="9"/>
        <v>0</v>
      </c>
      <c r="AS33" s="60">
        <f t="shared" si="9"/>
        <v>0</v>
      </c>
      <c r="AT33" s="60">
        <f t="shared" si="9"/>
        <v>0</v>
      </c>
      <c r="AU33" s="52">
        <f>AQ33/AM33-1</f>
        <v>281.85008573997789</v>
      </c>
      <c r="AV33" s="52" t="e">
        <f>AS33/AO33-1</f>
        <v>#DIV/0!</v>
      </c>
    </row>
    <row r="34" spans="1:48" ht="43.2" customHeight="1">
      <c r="A34" s="127" t="s">
        <v>10</v>
      </c>
      <c r="B34" s="128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7"/>
      <c r="AB34" s="37"/>
      <c r="AC34" s="38"/>
      <c r="AD34" s="38"/>
      <c r="AE34" s="38"/>
      <c r="AF34" s="38"/>
      <c r="AG34" s="38"/>
      <c r="AH34" s="38"/>
      <c r="AI34" s="38">
        <v>14976.62</v>
      </c>
      <c r="AJ34" s="38"/>
      <c r="AK34" s="38"/>
      <c r="AL34" s="38"/>
      <c r="AM34" s="38">
        <v>1912.76</v>
      </c>
      <c r="AN34" s="38"/>
      <c r="AO34" s="62"/>
      <c r="AP34" s="62"/>
      <c r="AQ34" s="60"/>
      <c r="AR34" s="60"/>
      <c r="AS34" s="60"/>
      <c r="AT34" s="60"/>
      <c r="AU34" s="53"/>
      <c r="AV34" s="53"/>
    </row>
    <row r="35" spans="1:48">
      <c r="A35" s="127" t="s">
        <v>7</v>
      </c>
      <c r="B35" s="128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7"/>
      <c r="AB35" s="37"/>
      <c r="AC35" s="38"/>
      <c r="AD35" s="38"/>
      <c r="AE35" s="38"/>
      <c r="AF35" s="38"/>
      <c r="AG35" s="38"/>
      <c r="AH35" s="38"/>
      <c r="AI35" s="38">
        <v>228134.86</v>
      </c>
      <c r="AJ35" s="38"/>
      <c r="AK35" s="38"/>
      <c r="AL35" s="38"/>
      <c r="AM35" s="37"/>
      <c r="AN35" s="40"/>
      <c r="AO35" s="40"/>
      <c r="AP35" s="40"/>
      <c r="AQ35" s="60">
        <v>369197.46</v>
      </c>
      <c r="AR35" s="60"/>
      <c r="AS35" s="60"/>
      <c r="AT35" s="60"/>
      <c r="AU35" s="53"/>
      <c r="AV35" s="53"/>
    </row>
    <row r="36" spans="1:48" ht="28.8" customHeight="1">
      <c r="A36" s="127" t="s">
        <v>8</v>
      </c>
      <c r="B36" s="128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7"/>
      <c r="AB36" s="37"/>
      <c r="AC36" s="38"/>
      <c r="AD36" s="38"/>
      <c r="AE36" s="38"/>
      <c r="AF36" s="38"/>
      <c r="AG36" s="38"/>
      <c r="AH36" s="38"/>
      <c r="AI36" s="38">
        <v>154690.45000000001</v>
      </c>
      <c r="AJ36" s="38"/>
      <c r="AK36" s="38"/>
      <c r="AL36" s="38"/>
      <c r="AM36" s="37"/>
      <c r="AN36" s="40"/>
      <c r="AO36" s="40"/>
      <c r="AP36" s="40"/>
      <c r="AQ36" s="60">
        <v>171826.87</v>
      </c>
      <c r="AR36" s="60"/>
      <c r="AS36" s="60"/>
      <c r="AT36" s="60"/>
      <c r="AU36" s="53"/>
      <c r="AV36" s="53"/>
    </row>
    <row r="37" spans="1:48">
      <c r="A37" s="127" t="s">
        <v>9</v>
      </c>
      <c r="B37" s="128"/>
      <c r="C37" s="61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7"/>
      <c r="AB37" s="37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7"/>
      <c r="AN37" s="40"/>
      <c r="AO37" s="40"/>
      <c r="AP37" s="40"/>
      <c r="AQ37" s="60"/>
      <c r="AR37" s="60"/>
      <c r="AS37" s="60"/>
      <c r="AT37" s="60"/>
      <c r="AU37" s="53"/>
      <c r="AV37" s="53"/>
    </row>
    <row r="38" spans="1:48">
      <c r="A38" s="127" t="s">
        <v>14</v>
      </c>
      <c r="B38" s="128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7"/>
      <c r="AB38" s="37"/>
      <c r="AC38" s="38"/>
      <c r="AD38" s="38"/>
      <c r="AE38" s="38"/>
      <c r="AF38" s="38"/>
      <c r="AG38" s="38"/>
      <c r="AH38" s="38"/>
      <c r="AI38" s="37"/>
      <c r="AJ38" s="37"/>
      <c r="AK38" s="37"/>
      <c r="AL38" s="37"/>
      <c r="AM38" s="40"/>
      <c r="AN38" s="40"/>
      <c r="AO38" s="40"/>
      <c r="AP38" s="40"/>
      <c r="AQ38" s="40"/>
      <c r="AR38" s="40"/>
      <c r="AS38" s="40"/>
      <c r="AT38" s="40"/>
      <c r="AU38" s="39"/>
      <c r="AV38" s="39"/>
    </row>
    <row r="39" spans="1:48">
      <c r="A39" s="129" t="s">
        <v>48</v>
      </c>
      <c r="B39" s="137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7"/>
      <c r="AB39" s="37"/>
      <c r="AC39" s="38"/>
      <c r="AD39" s="38"/>
      <c r="AE39" s="38"/>
      <c r="AF39" s="38"/>
      <c r="AG39" s="38"/>
      <c r="AH39" s="38"/>
      <c r="AI39" s="37"/>
      <c r="AJ39" s="37"/>
      <c r="AK39" s="37"/>
      <c r="AL39" s="37"/>
      <c r="AM39" s="62">
        <f t="shared" ref="AM39:AT39" si="10">AM40+AM41+AM42+AM43+AM44</f>
        <v>11098207.4</v>
      </c>
      <c r="AN39" s="62">
        <f t="shared" si="10"/>
        <v>0</v>
      </c>
      <c r="AO39" s="62">
        <f t="shared" si="10"/>
        <v>0</v>
      </c>
      <c r="AP39" s="62">
        <f t="shared" si="10"/>
        <v>0</v>
      </c>
      <c r="AQ39" s="60">
        <f t="shared" si="10"/>
        <v>15344528.720000001</v>
      </c>
      <c r="AR39" s="60">
        <f t="shared" si="10"/>
        <v>0</v>
      </c>
      <c r="AS39" s="60">
        <f t="shared" si="10"/>
        <v>0</v>
      </c>
      <c r="AT39" s="60">
        <f t="shared" si="10"/>
        <v>0</v>
      </c>
      <c r="AU39" s="52">
        <f>AQ39/AM39-1</f>
        <v>0.38261326058837208</v>
      </c>
      <c r="AV39" s="53" t="e">
        <f>AS39/AO39-1</f>
        <v>#DIV/0!</v>
      </c>
    </row>
    <row r="40" spans="1:48" ht="42.6" customHeight="1">
      <c r="A40" s="127" t="s">
        <v>10</v>
      </c>
      <c r="B40" s="128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7"/>
      <c r="AB40" s="37"/>
      <c r="AC40" s="38"/>
      <c r="AD40" s="38"/>
      <c r="AE40" s="38"/>
      <c r="AF40" s="38"/>
      <c r="AG40" s="38"/>
      <c r="AH40" s="38"/>
      <c r="AI40" s="37"/>
      <c r="AJ40" s="37"/>
      <c r="AK40" s="37"/>
      <c r="AL40" s="37"/>
      <c r="AM40" s="38">
        <v>9947930.2799999993</v>
      </c>
      <c r="AN40" s="62"/>
      <c r="AO40" s="62"/>
      <c r="AP40" s="62"/>
      <c r="AQ40" s="60">
        <v>13599976.15</v>
      </c>
      <c r="AR40" s="60"/>
      <c r="AS40" s="60"/>
      <c r="AT40" s="60"/>
      <c r="AU40" s="53"/>
      <c r="AV40" s="53"/>
    </row>
    <row r="41" spans="1:48">
      <c r="A41" s="127" t="s">
        <v>7</v>
      </c>
      <c r="B41" s="128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7"/>
      <c r="AB41" s="37"/>
      <c r="AC41" s="38"/>
      <c r="AD41" s="38"/>
      <c r="AE41" s="38"/>
      <c r="AF41" s="38"/>
      <c r="AG41" s="38"/>
      <c r="AH41" s="38"/>
      <c r="AI41" s="37"/>
      <c r="AJ41" s="37"/>
      <c r="AK41" s="37"/>
      <c r="AL41" s="37"/>
      <c r="AM41" s="38">
        <v>1001348.74</v>
      </c>
      <c r="AN41" s="62"/>
      <c r="AO41" s="62"/>
      <c r="AP41" s="62"/>
      <c r="AQ41" s="60">
        <v>1252334.74</v>
      </c>
      <c r="AR41" s="60"/>
      <c r="AS41" s="60"/>
      <c r="AT41" s="60"/>
      <c r="AU41" s="53"/>
      <c r="AV41" s="53"/>
    </row>
    <row r="42" spans="1:48" ht="28.8" customHeight="1">
      <c r="A42" s="127" t="s">
        <v>8</v>
      </c>
      <c r="B42" s="128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7"/>
      <c r="AB42" s="37"/>
      <c r="AC42" s="38"/>
      <c r="AD42" s="38"/>
      <c r="AE42" s="38"/>
      <c r="AF42" s="38"/>
      <c r="AG42" s="38"/>
      <c r="AH42" s="38"/>
      <c r="AI42" s="37"/>
      <c r="AJ42" s="37"/>
      <c r="AK42" s="37"/>
      <c r="AL42" s="37"/>
      <c r="AM42" s="38">
        <v>148928.38</v>
      </c>
      <c r="AN42" s="62"/>
      <c r="AO42" s="62"/>
      <c r="AP42" s="62"/>
      <c r="AQ42" s="60">
        <v>492217.83</v>
      </c>
      <c r="AR42" s="60"/>
      <c r="AS42" s="60"/>
      <c r="AT42" s="60"/>
      <c r="AU42" s="53"/>
      <c r="AV42" s="53"/>
    </row>
    <row r="43" spans="1:48">
      <c r="A43" s="127" t="s">
        <v>9</v>
      </c>
      <c r="B43" s="128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7"/>
      <c r="AB43" s="37"/>
      <c r="AC43" s="38"/>
      <c r="AD43" s="38"/>
      <c r="AE43" s="38"/>
      <c r="AF43" s="38"/>
      <c r="AG43" s="38"/>
      <c r="AH43" s="38"/>
      <c r="AI43" s="37"/>
      <c r="AJ43" s="37"/>
      <c r="AK43" s="37"/>
      <c r="AL43" s="37"/>
      <c r="AM43" s="62"/>
      <c r="AN43" s="62"/>
      <c r="AO43" s="62"/>
      <c r="AP43" s="62"/>
      <c r="AQ43" s="60"/>
      <c r="AR43" s="60"/>
      <c r="AS43" s="60"/>
      <c r="AT43" s="60"/>
      <c r="AU43" s="53"/>
      <c r="AV43" s="53"/>
    </row>
    <row r="44" spans="1:48">
      <c r="A44" s="127" t="s">
        <v>14</v>
      </c>
      <c r="B44" s="128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7"/>
      <c r="AB44" s="37"/>
      <c r="AC44" s="38"/>
      <c r="AD44" s="38"/>
      <c r="AE44" s="38"/>
      <c r="AF44" s="38"/>
      <c r="AG44" s="38"/>
      <c r="AH44" s="38"/>
      <c r="AI44" s="37"/>
      <c r="AJ44" s="37"/>
      <c r="AK44" s="37"/>
      <c r="AL44" s="37"/>
      <c r="AM44" s="62"/>
      <c r="AN44" s="62"/>
      <c r="AO44" s="62"/>
      <c r="AP44" s="62"/>
      <c r="AQ44" s="60"/>
      <c r="AR44" s="60"/>
      <c r="AS44" s="60"/>
      <c r="AT44" s="60"/>
      <c r="AU44" s="53"/>
      <c r="AV44" s="53"/>
    </row>
    <row r="45" spans="1:48" ht="29.4" customHeight="1">
      <c r="A45" s="129" t="s">
        <v>47</v>
      </c>
      <c r="B45" s="130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7"/>
      <c r="AB45" s="37"/>
      <c r="AC45" s="38"/>
      <c r="AD45" s="38"/>
      <c r="AE45" s="38"/>
      <c r="AF45" s="38"/>
      <c r="AG45" s="38"/>
      <c r="AH45" s="38"/>
      <c r="AI45" s="37"/>
      <c r="AJ45" s="37"/>
      <c r="AK45" s="37"/>
      <c r="AL45" s="37"/>
      <c r="AM45" s="62">
        <f t="shared" ref="AM45:AT45" si="11">AM46+AM47+AM48+AM49+AM50</f>
        <v>197302.94999999998</v>
      </c>
      <c r="AN45" s="62">
        <f t="shared" si="11"/>
        <v>0</v>
      </c>
      <c r="AO45" s="62">
        <f t="shared" si="11"/>
        <v>0</v>
      </c>
      <c r="AP45" s="62">
        <f t="shared" si="11"/>
        <v>0</v>
      </c>
      <c r="AQ45" s="60">
        <f t="shared" si="11"/>
        <v>281089.21999999997</v>
      </c>
      <c r="AR45" s="60">
        <f t="shared" si="11"/>
        <v>0</v>
      </c>
      <c r="AS45" s="60">
        <f t="shared" si="11"/>
        <v>0</v>
      </c>
      <c r="AT45" s="60">
        <f t="shared" si="11"/>
        <v>0</v>
      </c>
      <c r="AU45" s="52">
        <f>AQ45/AM45-1</f>
        <v>0.42465796887476848</v>
      </c>
      <c r="AV45" s="53" t="e">
        <f>AS45/AO45-1</f>
        <v>#DIV/0!</v>
      </c>
    </row>
    <row r="46" spans="1:48" ht="43.8" customHeight="1">
      <c r="A46" s="127" t="s">
        <v>10</v>
      </c>
      <c r="B46" s="128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7"/>
      <c r="AB46" s="37"/>
      <c r="AC46" s="38"/>
      <c r="AD46" s="38"/>
      <c r="AE46" s="38"/>
      <c r="AF46" s="38"/>
      <c r="AG46" s="38"/>
      <c r="AH46" s="38"/>
      <c r="AI46" s="37"/>
      <c r="AJ46" s="37"/>
      <c r="AK46" s="37"/>
      <c r="AL46" s="37"/>
      <c r="AM46" s="38">
        <v>11132.85</v>
      </c>
      <c r="AN46" s="38"/>
      <c r="AO46" s="38"/>
      <c r="AP46" s="38"/>
      <c r="AQ46" s="54">
        <v>26547</v>
      </c>
      <c r="AR46" s="54"/>
      <c r="AS46" s="54"/>
      <c r="AT46" s="54"/>
      <c r="AU46" s="53"/>
      <c r="AV46" s="53"/>
    </row>
    <row r="47" spans="1:48">
      <c r="A47" s="127" t="s">
        <v>7</v>
      </c>
      <c r="B47" s="128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7"/>
      <c r="AB47" s="37"/>
      <c r="AC47" s="38"/>
      <c r="AD47" s="38"/>
      <c r="AE47" s="38"/>
      <c r="AF47" s="38"/>
      <c r="AG47" s="38"/>
      <c r="AH47" s="38"/>
      <c r="AI47" s="37"/>
      <c r="AJ47" s="37"/>
      <c r="AK47" s="37"/>
      <c r="AL47" s="37"/>
      <c r="AM47" s="38">
        <v>123478.26</v>
      </c>
      <c r="AN47" s="38"/>
      <c r="AO47" s="38"/>
      <c r="AP47" s="38"/>
      <c r="AQ47" s="54">
        <v>175487.43</v>
      </c>
      <c r="AR47" s="54"/>
      <c r="AS47" s="54"/>
      <c r="AT47" s="54"/>
      <c r="AU47" s="53"/>
      <c r="AV47" s="53"/>
    </row>
    <row r="48" spans="1:48" ht="28.2" customHeight="1">
      <c r="A48" s="127" t="s">
        <v>8</v>
      </c>
      <c r="B48" s="128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7"/>
      <c r="AB48" s="37"/>
      <c r="AC48" s="38"/>
      <c r="AD48" s="38"/>
      <c r="AE48" s="38"/>
      <c r="AF48" s="38"/>
      <c r="AG48" s="38"/>
      <c r="AH48" s="38"/>
      <c r="AI48" s="37"/>
      <c r="AJ48" s="37"/>
      <c r="AK48" s="37"/>
      <c r="AL48" s="37"/>
      <c r="AM48" s="38">
        <v>62691.839999999997</v>
      </c>
      <c r="AN48" s="38"/>
      <c r="AO48" s="38"/>
      <c r="AP48" s="38"/>
      <c r="AQ48" s="54">
        <v>79054.789999999994</v>
      </c>
      <c r="AR48" s="54"/>
      <c r="AS48" s="54"/>
      <c r="AT48" s="54"/>
      <c r="AU48" s="53"/>
      <c r="AV48" s="53"/>
    </row>
    <row r="49" spans="1:51">
      <c r="A49" s="127" t="s">
        <v>9</v>
      </c>
      <c r="B49" s="128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7"/>
      <c r="AB49" s="37"/>
      <c r="AC49" s="38"/>
      <c r="AD49" s="38"/>
      <c r="AE49" s="38"/>
      <c r="AF49" s="38"/>
      <c r="AG49" s="38"/>
      <c r="AH49" s="38"/>
      <c r="AI49" s="37"/>
      <c r="AJ49" s="37"/>
      <c r="AK49" s="37"/>
      <c r="AL49" s="37"/>
      <c r="AM49" s="38"/>
      <c r="AN49" s="38"/>
      <c r="AO49" s="38"/>
      <c r="AP49" s="38"/>
      <c r="AQ49" s="54"/>
      <c r="AR49" s="54"/>
      <c r="AS49" s="54"/>
      <c r="AT49" s="54"/>
      <c r="AU49" s="53"/>
      <c r="AV49" s="53"/>
    </row>
    <row r="50" spans="1:51">
      <c r="A50" s="127" t="s">
        <v>14</v>
      </c>
      <c r="B50" s="128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7"/>
      <c r="AB50" s="37"/>
      <c r="AC50" s="38"/>
      <c r="AD50" s="38"/>
      <c r="AE50" s="38"/>
      <c r="AF50" s="38"/>
      <c r="AG50" s="38"/>
      <c r="AH50" s="38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9"/>
      <c r="AV50" s="39"/>
    </row>
    <row r="51" spans="1:51">
      <c r="A51" s="139" t="s">
        <v>1</v>
      </c>
      <c r="B51" s="140"/>
      <c r="C51" s="138">
        <f>SUM(C53:C57)</f>
        <v>0</v>
      </c>
      <c r="D51" s="138">
        <f>SUM(D53:D57)</f>
        <v>0</v>
      </c>
      <c r="E51" s="138">
        <f t="shared" ref="E51:AD51" si="12">SUM(E53:E57)</f>
        <v>35747.5</v>
      </c>
      <c r="F51" s="138">
        <f t="shared" si="12"/>
        <v>0</v>
      </c>
      <c r="G51" s="138">
        <f t="shared" si="12"/>
        <v>0</v>
      </c>
      <c r="H51" s="138">
        <f t="shared" si="12"/>
        <v>0</v>
      </c>
      <c r="I51" s="138">
        <f t="shared" si="12"/>
        <v>0</v>
      </c>
      <c r="J51" s="138">
        <f t="shared" si="12"/>
        <v>0</v>
      </c>
      <c r="K51" s="138">
        <f t="shared" si="12"/>
        <v>120756.41</v>
      </c>
      <c r="L51" s="138">
        <f t="shared" si="12"/>
        <v>0</v>
      </c>
      <c r="M51" s="138">
        <f t="shared" si="12"/>
        <v>144077.24</v>
      </c>
      <c r="N51" s="138">
        <f t="shared" si="12"/>
        <v>0</v>
      </c>
      <c r="O51" s="138">
        <f t="shared" si="12"/>
        <v>122267.09</v>
      </c>
      <c r="P51" s="138">
        <f t="shared" si="12"/>
        <v>0</v>
      </c>
      <c r="Q51" s="138">
        <f t="shared" si="12"/>
        <v>81760.240000000005</v>
      </c>
      <c r="R51" s="138">
        <f t="shared" si="12"/>
        <v>0</v>
      </c>
      <c r="S51" s="138">
        <f t="shared" si="12"/>
        <v>68067.33</v>
      </c>
      <c r="T51" s="138">
        <f t="shared" si="12"/>
        <v>0</v>
      </c>
      <c r="U51" s="138">
        <f t="shared" si="12"/>
        <v>61711.68</v>
      </c>
      <c r="V51" s="138">
        <f t="shared" si="12"/>
        <v>0</v>
      </c>
      <c r="W51" s="138">
        <f t="shared" si="12"/>
        <v>0</v>
      </c>
      <c r="X51" s="138">
        <f t="shared" si="12"/>
        <v>0</v>
      </c>
      <c r="Y51" s="138">
        <f t="shared" si="12"/>
        <v>217.78</v>
      </c>
      <c r="Z51" s="138">
        <f t="shared" si="12"/>
        <v>0</v>
      </c>
      <c r="AA51" s="145">
        <f t="shared" si="12"/>
        <v>187710.37</v>
      </c>
      <c r="AB51" s="145">
        <f t="shared" si="12"/>
        <v>0</v>
      </c>
      <c r="AC51" s="145">
        <f t="shared" si="12"/>
        <v>333233.98</v>
      </c>
      <c r="AD51" s="145">
        <f t="shared" si="12"/>
        <v>0</v>
      </c>
      <c r="AE51" s="125">
        <f t="shared" ref="AE51:AT51" si="13">AE53+AE54+AE55+AE56+AE57</f>
        <v>797761.55</v>
      </c>
      <c r="AF51" s="125">
        <f t="shared" si="13"/>
        <v>0</v>
      </c>
      <c r="AG51" s="125">
        <v>0</v>
      </c>
      <c r="AH51" s="125">
        <f t="shared" si="13"/>
        <v>0</v>
      </c>
      <c r="AI51" s="125">
        <f t="shared" si="13"/>
        <v>177719.41</v>
      </c>
      <c r="AJ51" s="125">
        <f t="shared" si="13"/>
        <v>0</v>
      </c>
      <c r="AK51" s="125">
        <f t="shared" si="13"/>
        <v>0</v>
      </c>
      <c r="AL51" s="125">
        <f t="shared" si="13"/>
        <v>0</v>
      </c>
      <c r="AM51" s="125">
        <f t="shared" si="13"/>
        <v>37932.990000000005</v>
      </c>
      <c r="AN51" s="125">
        <f t="shared" si="13"/>
        <v>0</v>
      </c>
      <c r="AO51" s="125">
        <f t="shared" si="13"/>
        <v>0</v>
      </c>
      <c r="AP51" s="125">
        <f t="shared" si="13"/>
        <v>0</v>
      </c>
      <c r="AQ51" s="150">
        <f t="shared" si="13"/>
        <v>729818.27</v>
      </c>
      <c r="AR51" s="150">
        <f t="shared" si="13"/>
        <v>0</v>
      </c>
      <c r="AS51" s="150">
        <f t="shared" si="13"/>
        <v>0</v>
      </c>
      <c r="AT51" s="150">
        <f t="shared" si="13"/>
        <v>0</v>
      </c>
      <c r="AU51" s="143">
        <f>AQ51/AM51-1</f>
        <v>18.239671589294698</v>
      </c>
      <c r="AV51" s="143" t="e">
        <f>AS51/AO51-1</f>
        <v>#DIV/0!</v>
      </c>
    </row>
    <row r="52" spans="1:51">
      <c r="A52" s="141"/>
      <c r="B52" s="142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32"/>
      <c r="AB52" s="132"/>
      <c r="AC52" s="132"/>
      <c r="AD52" s="132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51"/>
      <c r="AR52" s="151"/>
      <c r="AS52" s="151"/>
      <c r="AT52" s="151"/>
      <c r="AU52" s="144"/>
      <c r="AV52" s="144"/>
    </row>
    <row r="53" spans="1:51" ht="45" customHeight="1">
      <c r="A53" s="127" t="s">
        <v>10</v>
      </c>
      <c r="B53" s="128"/>
      <c r="C53" s="2"/>
      <c r="D53" s="2"/>
      <c r="E53" s="2">
        <v>35747.5</v>
      </c>
      <c r="F53" s="2"/>
      <c r="G53" s="2"/>
      <c r="H53" s="2"/>
      <c r="I53" s="2"/>
      <c r="J53" s="2"/>
      <c r="K53" s="2">
        <v>120756.41</v>
      </c>
      <c r="L53" s="2"/>
      <c r="M53" s="2">
        <v>144077.24</v>
      </c>
      <c r="N53" s="2"/>
      <c r="O53" s="2">
        <v>122267.09</v>
      </c>
      <c r="P53" s="2"/>
      <c r="Q53" s="2">
        <v>67770.240000000005</v>
      </c>
      <c r="R53" s="2"/>
      <c r="S53" s="2">
        <f>65281.19+2786.14</f>
        <v>68067.33</v>
      </c>
      <c r="T53" s="2"/>
      <c r="U53" s="2">
        <v>61711.68</v>
      </c>
      <c r="V53" s="2"/>
      <c r="W53" s="2"/>
      <c r="X53" s="2"/>
      <c r="Y53" s="2">
        <v>217.78</v>
      </c>
      <c r="Z53" s="2"/>
      <c r="AA53" s="16">
        <v>35</v>
      </c>
      <c r="AB53" s="16"/>
      <c r="AC53" s="16">
        <f>27611.35+117602.07</f>
        <v>145213.42000000001</v>
      </c>
      <c r="AD53" s="13"/>
      <c r="AE53" s="16">
        <f>30567.15+190377.23</f>
        <v>220944.38</v>
      </c>
      <c r="AF53" s="16"/>
      <c r="AG53" s="16"/>
      <c r="AH53" s="16"/>
      <c r="AI53" s="16">
        <f>73933.92+103785.49</f>
        <v>177719.41</v>
      </c>
      <c r="AJ53" s="16"/>
      <c r="AK53" s="16"/>
      <c r="AL53" s="16"/>
      <c r="AM53" s="16">
        <f>5043.12+32889.87</f>
        <v>37932.990000000005</v>
      </c>
      <c r="AN53" s="16"/>
      <c r="AO53" s="16"/>
      <c r="AP53" s="16"/>
      <c r="AQ53" s="23">
        <v>374221.7</v>
      </c>
      <c r="AR53" s="23"/>
      <c r="AS53" s="23"/>
      <c r="AT53" s="23"/>
      <c r="AU53" s="17"/>
      <c r="AV53" s="17"/>
    </row>
    <row r="54" spans="1:51">
      <c r="A54" s="127" t="s">
        <v>7</v>
      </c>
      <c r="B54" s="128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16">
        <v>172262.37</v>
      </c>
      <c r="AB54" s="16"/>
      <c r="AC54" s="16">
        <v>188020.56</v>
      </c>
      <c r="AD54" s="13"/>
      <c r="AE54" s="16">
        <v>372715</v>
      </c>
      <c r="AF54" s="16"/>
      <c r="AG54" s="16"/>
      <c r="AH54" s="16"/>
      <c r="AI54" s="13"/>
      <c r="AJ54" s="13"/>
      <c r="AK54" s="13"/>
      <c r="AL54" s="13"/>
      <c r="AM54" s="16"/>
      <c r="AN54" s="16"/>
      <c r="AO54" s="16"/>
      <c r="AP54" s="16"/>
      <c r="AQ54" s="23">
        <v>232248.87</v>
      </c>
      <c r="AR54" s="23"/>
      <c r="AS54" s="23"/>
      <c r="AT54" s="23"/>
      <c r="AU54" s="17"/>
      <c r="AV54" s="17"/>
    </row>
    <row r="55" spans="1:51" ht="28.2" customHeight="1">
      <c r="A55" s="127" t="s">
        <v>8</v>
      </c>
      <c r="B55" s="12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16"/>
      <c r="AB55" s="16"/>
      <c r="AC55" s="13"/>
      <c r="AD55" s="13"/>
      <c r="AE55" s="16"/>
      <c r="AF55" s="16"/>
      <c r="AG55" s="16"/>
      <c r="AH55" s="16"/>
      <c r="AI55" s="13"/>
      <c r="AJ55" s="13"/>
      <c r="AK55" s="13"/>
      <c r="AL55" s="13"/>
      <c r="AM55" s="13"/>
      <c r="AN55" s="13"/>
      <c r="AO55" s="13"/>
      <c r="AP55" s="13"/>
      <c r="AQ55" s="23">
        <v>123347.7</v>
      </c>
      <c r="AR55" s="23"/>
      <c r="AS55" s="23"/>
      <c r="AT55" s="23"/>
      <c r="AU55" s="17"/>
      <c r="AV55" s="17"/>
    </row>
    <row r="56" spans="1:51">
      <c r="A56" s="127" t="s">
        <v>9</v>
      </c>
      <c r="B56" s="128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>
        <v>13990</v>
      </c>
      <c r="R56" s="2"/>
      <c r="S56" s="2"/>
      <c r="T56" s="2"/>
      <c r="U56" s="2"/>
      <c r="V56" s="2"/>
      <c r="W56" s="2"/>
      <c r="X56" s="2"/>
      <c r="Y56" s="2"/>
      <c r="Z56" s="2"/>
      <c r="AA56" s="16">
        <v>15413</v>
      </c>
      <c r="AB56" s="16"/>
      <c r="AC56" s="13"/>
      <c r="AD56" s="13"/>
      <c r="AE56" s="16">
        <v>204102.17</v>
      </c>
      <c r="AF56" s="16"/>
      <c r="AG56" s="16"/>
      <c r="AH56" s="16"/>
      <c r="AI56" s="13"/>
      <c r="AJ56" s="13"/>
      <c r="AK56" s="13"/>
      <c r="AL56" s="13"/>
      <c r="AM56" s="13"/>
      <c r="AN56" s="13"/>
      <c r="AO56" s="13"/>
      <c r="AP56" s="13"/>
      <c r="AQ56" s="23"/>
      <c r="AR56" s="23"/>
      <c r="AS56" s="23"/>
      <c r="AT56" s="23"/>
      <c r="AU56" s="17"/>
      <c r="AV56" s="17"/>
    </row>
    <row r="57" spans="1:51">
      <c r="A57" s="127" t="s">
        <v>14</v>
      </c>
      <c r="B57" s="12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16"/>
      <c r="AB57" s="16"/>
      <c r="AC57" s="13"/>
      <c r="AD57" s="13"/>
      <c r="AE57" s="16"/>
      <c r="AF57" s="16"/>
      <c r="AG57" s="16"/>
      <c r="AH57" s="16"/>
      <c r="AI57" s="13"/>
      <c r="AJ57" s="13"/>
      <c r="AK57" s="13"/>
      <c r="AL57" s="13"/>
      <c r="AM57" s="13"/>
      <c r="AN57" s="13"/>
      <c r="AO57" s="13"/>
      <c r="AP57" s="13"/>
      <c r="AQ57" s="23"/>
      <c r="AR57" s="23"/>
      <c r="AS57" s="23"/>
      <c r="AT57" s="23"/>
      <c r="AU57" s="17"/>
      <c r="AV57" s="17"/>
    </row>
    <row r="58" spans="1:51">
      <c r="A58" s="139" t="s">
        <v>2</v>
      </c>
      <c r="B58" s="140"/>
      <c r="C58" s="138">
        <v>54846675.530000001</v>
      </c>
      <c r="D58" s="138">
        <v>48940486.590000004</v>
      </c>
      <c r="E58" s="138">
        <f>SUM(E60:E64)</f>
        <v>64656891.350000001</v>
      </c>
      <c r="F58" s="138">
        <f>SUM(F60:F64)</f>
        <v>51440732.669999994</v>
      </c>
      <c r="G58" s="138">
        <f t="shared" ref="G58:AD58" si="14">SUM(G60:G64)</f>
        <v>69207433.140000001</v>
      </c>
      <c r="H58" s="138">
        <f t="shared" si="14"/>
        <v>50454846.649999999</v>
      </c>
      <c r="I58" s="138">
        <f t="shared" si="14"/>
        <v>70742852.230000004</v>
      </c>
      <c r="J58" s="138">
        <f t="shared" si="14"/>
        <v>55024116.890000001</v>
      </c>
      <c r="K58" s="138">
        <f t="shared" si="14"/>
        <v>70605066.099999994</v>
      </c>
      <c r="L58" s="138">
        <f t="shared" si="14"/>
        <v>57943952.730000004</v>
      </c>
      <c r="M58" s="138">
        <f t="shared" si="14"/>
        <v>73371785.549999997</v>
      </c>
      <c r="N58" s="138">
        <f t="shared" si="14"/>
        <v>57519633.82</v>
      </c>
      <c r="O58" s="138">
        <f t="shared" si="14"/>
        <v>69857012.25</v>
      </c>
      <c r="P58" s="138">
        <f t="shared" si="14"/>
        <v>65548817.789999999</v>
      </c>
      <c r="Q58" s="138">
        <f t="shared" si="14"/>
        <v>71509757.569999993</v>
      </c>
      <c r="R58" s="138">
        <f t="shared" si="14"/>
        <v>57862859.439999998</v>
      </c>
      <c r="S58" s="138">
        <f t="shared" si="14"/>
        <v>71486946.959999993</v>
      </c>
      <c r="T58" s="138">
        <f t="shared" si="14"/>
        <v>57789918.439999998</v>
      </c>
      <c r="U58" s="138">
        <f t="shared" si="14"/>
        <v>70592079.479999989</v>
      </c>
      <c r="V58" s="138">
        <f t="shared" si="14"/>
        <v>61579945.239999995</v>
      </c>
      <c r="W58" s="138">
        <f t="shared" si="14"/>
        <v>66866461.460000001</v>
      </c>
      <c r="X58" s="138">
        <f t="shared" si="14"/>
        <v>57735277.960000001</v>
      </c>
      <c r="Y58" s="138">
        <f t="shared" si="14"/>
        <v>103038065.23999999</v>
      </c>
      <c r="Z58" s="138">
        <f t="shared" si="14"/>
        <v>90836160.789999992</v>
      </c>
      <c r="AA58" s="145">
        <f t="shared" si="14"/>
        <v>56387437.119999997</v>
      </c>
      <c r="AB58" s="145">
        <f t="shared" si="14"/>
        <v>15533763.189999999</v>
      </c>
      <c r="AC58" s="145">
        <f t="shared" si="14"/>
        <v>119943838.53</v>
      </c>
      <c r="AD58" s="145">
        <f t="shared" si="14"/>
        <v>72448338.349999994</v>
      </c>
      <c r="AE58" s="125">
        <f t="shared" ref="AE58:AT58" si="15">AE60+AE61+AE62+AE63+AE64</f>
        <v>63217359.389999993</v>
      </c>
      <c r="AF58" s="125">
        <f t="shared" si="15"/>
        <v>27862807.449999999</v>
      </c>
      <c r="AG58" s="125">
        <f t="shared" si="15"/>
        <v>9411597.2899999991</v>
      </c>
      <c r="AH58" s="125">
        <f t="shared" si="15"/>
        <v>0</v>
      </c>
      <c r="AI58" s="125">
        <f t="shared" si="15"/>
        <v>49786014.659999996</v>
      </c>
      <c r="AJ58" s="125">
        <f t="shared" si="15"/>
        <v>26173821.319999997</v>
      </c>
      <c r="AK58" s="125">
        <f t="shared" si="15"/>
        <v>381120</v>
      </c>
      <c r="AL58" s="125">
        <f t="shared" si="15"/>
        <v>0</v>
      </c>
      <c r="AM58" s="148">
        <f t="shared" si="15"/>
        <v>39873417.130000003</v>
      </c>
      <c r="AN58" s="148">
        <f t="shared" si="15"/>
        <v>22688071.109999999</v>
      </c>
      <c r="AO58" s="148">
        <f t="shared" si="15"/>
        <v>0</v>
      </c>
      <c r="AP58" s="148">
        <f t="shared" si="15"/>
        <v>0</v>
      </c>
      <c r="AQ58" s="159">
        <f t="shared" si="15"/>
        <v>55331221.600000001</v>
      </c>
      <c r="AR58" s="159">
        <f t="shared" si="15"/>
        <v>26586669.989999998</v>
      </c>
      <c r="AS58" s="159">
        <f t="shared" si="15"/>
        <v>0</v>
      </c>
      <c r="AT58" s="159">
        <f t="shared" si="15"/>
        <v>0</v>
      </c>
      <c r="AU58" s="146">
        <f>AQ58/AM58-1</f>
        <v>0.38767192737965361</v>
      </c>
      <c r="AV58" s="146" t="e">
        <f>AS58/AO58-1</f>
        <v>#DIV/0!</v>
      </c>
    </row>
    <row r="59" spans="1:51">
      <c r="A59" s="141"/>
      <c r="B59" s="142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32"/>
      <c r="AB59" s="132"/>
      <c r="AC59" s="132"/>
      <c r="AD59" s="132"/>
      <c r="AE59" s="126"/>
      <c r="AF59" s="126"/>
      <c r="AG59" s="126"/>
      <c r="AH59" s="126"/>
      <c r="AI59" s="126"/>
      <c r="AJ59" s="126"/>
      <c r="AK59" s="126"/>
      <c r="AL59" s="126"/>
      <c r="AM59" s="149"/>
      <c r="AN59" s="149"/>
      <c r="AO59" s="149"/>
      <c r="AP59" s="149"/>
      <c r="AQ59" s="160"/>
      <c r="AR59" s="160"/>
      <c r="AS59" s="160"/>
      <c r="AT59" s="160"/>
      <c r="AU59" s="147"/>
      <c r="AV59" s="147"/>
    </row>
    <row r="60" spans="1:51" ht="42.6" customHeight="1">
      <c r="A60" s="127" t="s">
        <v>10</v>
      </c>
      <c r="B60" s="128"/>
      <c r="C60" s="2"/>
      <c r="D60" s="2"/>
      <c r="E60" s="2">
        <v>10110055.9</v>
      </c>
      <c r="F60" s="2">
        <f>51442088.62-49312861.59</f>
        <v>2129227.0299999937</v>
      </c>
      <c r="G60" s="2">
        <v>10146692.35</v>
      </c>
      <c r="H60" s="2">
        <v>2129227.0299999998</v>
      </c>
      <c r="I60" s="2">
        <v>14616479.76</v>
      </c>
      <c r="J60" s="2">
        <v>2129227.0299999998</v>
      </c>
      <c r="K60" s="2">
        <v>7843217.96</v>
      </c>
      <c r="L60" s="2">
        <v>2129227.0299999998</v>
      </c>
      <c r="M60" s="2">
        <v>7533070</v>
      </c>
      <c r="N60" s="2">
        <v>2129227.0299999998</v>
      </c>
      <c r="O60" s="2">
        <v>6652443.1100000003</v>
      </c>
      <c r="P60" s="2">
        <v>2344248.65</v>
      </c>
      <c r="Q60" s="2">
        <f>8677372.77+42645.25</f>
        <v>8720018.0199999996</v>
      </c>
      <c r="R60" s="2">
        <f>2344248.65</f>
        <v>2344248.65</v>
      </c>
      <c r="S60" s="2">
        <f>69747.65+9218096.72</f>
        <v>9287844.370000001</v>
      </c>
      <c r="T60" s="2">
        <v>2271307.65</v>
      </c>
      <c r="U60" s="2">
        <f>94170.06+10964271.83</f>
        <v>11058441.890000001</v>
      </c>
      <c r="V60" s="2">
        <f>2046307.65</f>
        <v>2046307.65</v>
      </c>
      <c r="W60" s="2">
        <f>11194823.81+98358.34</f>
        <v>11293182.15</v>
      </c>
      <c r="X60" s="2">
        <f>2161998.65</f>
        <v>2161998.65</v>
      </c>
      <c r="Y60" s="2">
        <v>13594212.15</v>
      </c>
      <c r="Z60" s="2">
        <v>4751435.4800000004</v>
      </c>
      <c r="AA60" s="16">
        <f>77325.12+12375433.35</f>
        <v>12452758.469999999</v>
      </c>
      <c r="AB60" s="16">
        <v>1634678.03</v>
      </c>
      <c r="AC60" s="16">
        <f>263374.33+25371454.14</f>
        <v>25634828.469999999</v>
      </c>
      <c r="AD60" s="16">
        <v>7111498.0199999996</v>
      </c>
      <c r="AE60" s="16">
        <f>58898.5+5757823.28+84105.04+8232493.31</f>
        <v>14133320.129999999</v>
      </c>
      <c r="AF60" s="16">
        <f>58898.5+84105.04</f>
        <v>143003.53999999998</v>
      </c>
      <c r="AG60" s="16">
        <v>1077110.1399999999</v>
      </c>
      <c r="AH60" s="16"/>
      <c r="AI60" s="16">
        <f>6666650.33+5624949.78</f>
        <v>12291600.109999999</v>
      </c>
      <c r="AJ60" s="16">
        <f>35741.07+67278.18</f>
        <v>103019.25</v>
      </c>
      <c r="AK60" s="16"/>
      <c r="AL60" s="16"/>
      <c r="AM60" s="41">
        <f>37948.57+4413208.13+100915.2+4535014.6</f>
        <v>9087086.5</v>
      </c>
      <c r="AN60" s="41">
        <f>37948.57+100915.2</f>
        <v>138863.76999999999</v>
      </c>
      <c r="AO60" s="41"/>
      <c r="AP60" s="41"/>
      <c r="AQ60" s="55">
        <f>181080.1+5818066.95+362581.08+11525655.15</f>
        <v>17887383.280000001</v>
      </c>
      <c r="AR60" s="55">
        <f>181080.1+362581.08</f>
        <v>543661.18000000005</v>
      </c>
      <c r="AS60" s="55"/>
      <c r="AT60" s="55"/>
      <c r="AU60" s="56"/>
      <c r="AV60" s="56"/>
      <c r="AY60" s="29"/>
    </row>
    <row r="61" spans="1:51">
      <c r="A61" s="127" t="s">
        <v>7</v>
      </c>
      <c r="B61" s="128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16">
        <f>774524.11+20097533.72</f>
        <v>20872057.829999998</v>
      </c>
      <c r="AB61" s="16"/>
      <c r="AC61" s="16">
        <f>815882.11+24539657.77</f>
        <v>25355539.879999999</v>
      </c>
      <c r="AD61" s="16"/>
      <c r="AE61" s="16">
        <f>6636427.13+2761581.99+10175763.76+5190667.21</f>
        <v>24764440.090000004</v>
      </c>
      <c r="AF61" s="16">
        <f>6636427.13+10175763.76</f>
        <v>16812190.890000001</v>
      </c>
      <c r="AG61" s="16"/>
      <c r="AH61" s="16"/>
      <c r="AI61" s="16">
        <f>7952572.92+13599050.19</f>
        <v>21551623.109999999</v>
      </c>
      <c r="AJ61" s="16">
        <f>6844713.26+9282998.62</f>
        <v>16127711.879999999</v>
      </c>
      <c r="AK61" s="16"/>
      <c r="AL61" s="16"/>
      <c r="AM61" s="41">
        <f>5886637.22+1343938.79+9504699.42+3891041.08</f>
        <v>20626316.509999998</v>
      </c>
      <c r="AN61" s="41">
        <f>5886637.22+9504699.42</f>
        <v>15391336.640000001</v>
      </c>
      <c r="AO61" s="41"/>
      <c r="AP61" s="41"/>
      <c r="AQ61" s="55">
        <f>5182000.86+1731256.99+9546972.25+5212982.2</f>
        <v>21673212.300000001</v>
      </c>
      <c r="AR61" s="55">
        <f>5182000.86+9546972.25</f>
        <v>14728973.109999999</v>
      </c>
      <c r="AS61" s="55"/>
      <c r="AT61" s="55"/>
      <c r="AU61" s="56"/>
      <c r="AV61" s="56"/>
    </row>
    <row r="62" spans="1:51" ht="29.4" customHeight="1">
      <c r="A62" s="127" t="s">
        <v>8</v>
      </c>
      <c r="B62" s="128"/>
      <c r="C62" s="2"/>
      <c r="D62" s="2"/>
      <c r="E62" s="2">
        <v>4317281.3899999997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>
        <v>3356790.95</v>
      </c>
      <c r="Z62" s="2"/>
      <c r="AA62" s="16">
        <f>511757.59+6814505.62</f>
        <v>7326263.21</v>
      </c>
      <c r="AB62" s="16"/>
      <c r="AC62" s="16">
        <f>484038.54+11956133.92</f>
        <v>12440172.459999999</v>
      </c>
      <c r="AD62" s="16">
        <v>10626588</v>
      </c>
      <c r="AE62" s="16">
        <f>4846101.83+2549979.72+3834472.6+2522828.53</f>
        <v>13753382.68</v>
      </c>
      <c r="AF62" s="16">
        <f>4846101.83+3834472.6</f>
        <v>8680574.4299999997</v>
      </c>
      <c r="AG62" s="16"/>
      <c r="AH62" s="16"/>
      <c r="AI62" s="16">
        <f>7445909.28+7217099.4</f>
        <v>14663008.68</v>
      </c>
      <c r="AJ62" s="16">
        <f>4719696.68+4376171.99</f>
        <v>9095868.6699999999</v>
      </c>
      <c r="AK62" s="16"/>
      <c r="AL62" s="16"/>
      <c r="AM62" s="41">
        <f>3432978.14+381958.57+3074157.21+2597939.85</f>
        <v>9487033.7699999996</v>
      </c>
      <c r="AN62" s="41">
        <f>3432978.14+3074157.21</f>
        <v>6507135.3499999996</v>
      </c>
      <c r="AO62" s="41"/>
      <c r="AP62" s="41"/>
      <c r="AQ62" s="55">
        <f>4802668.52+1562696.44+6454327.23+2893893.88</f>
        <v>15713586.07</v>
      </c>
      <c r="AR62" s="55">
        <f>4802668.52+6454327.23</f>
        <v>11256995.75</v>
      </c>
      <c r="AS62" s="55"/>
      <c r="AT62" s="55"/>
      <c r="AU62" s="56"/>
      <c r="AV62" s="56"/>
    </row>
    <row r="63" spans="1:51">
      <c r="A63" s="127" t="s">
        <v>9</v>
      </c>
      <c r="B63" s="128"/>
      <c r="C63" s="2"/>
      <c r="D63" s="2"/>
      <c r="E63" s="2">
        <v>50229554.060000002</v>
      </c>
      <c r="F63" s="2">
        <v>49311505.640000001</v>
      </c>
      <c r="G63" s="2">
        <f>54914409.14+4146331.65</f>
        <v>59060740.789999999</v>
      </c>
      <c r="H63" s="2">
        <f>4092516+44233103.62</f>
        <v>48325619.619999997</v>
      </c>
      <c r="I63" s="2">
        <f>4125519+52000853.47</f>
        <v>56126372.469999999</v>
      </c>
      <c r="J63" s="2">
        <f>4092516+48802373.86</f>
        <v>52894889.859999999</v>
      </c>
      <c r="K63" s="2">
        <f>4106722+58655126.14</f>
        <v>62761848.140000001</v>
      </c>
      <c r="L63" s="2">
        <f>4092516+51722209.7</f>
        <v>55814725.700000003</v>
      </c>
      <c r="M63" s="2">
        <f>3726327.65+62112387.9</f>
        <v>65838715.549999997</v>
      </c>
      <c r="N63" s="2">
        <f>51679075.14+3711331.65</f>
        <v>55390406.789999999</v>
      </c>
      <c r="O63" s="2">
        <f>3292052+59912517.14</f>
        <v>63204569.140000001</v>
      </c>
      <c r="P63" s="2">
        <f>3292052+59912517.14</f>
        <v>63204569.140000001</v>
      </c>
      <c r="Q63" s="2">
        <f>59493077.9+3296661.65</f>
        <v>62789739.549999997</v>
      </c>
      <c r="R63" s="2">
        <f>3296661.65+52221949.14</f>
        <v>55518610.789999999</v>
      </c>
      <c r="S63" s="2">
        <f>58887656.94+3311445.65</f>
        <v>62199102.589999996</v>
      </c>
      <c r="T63" s="2">
        <f>3296661.65+52221949.14</f>
        <v>55518610.789999999</v>
      </c>
      <c r="U63" s="2">
        <f>56222191.94+3311445.65</f>
        <v>59533637.589999996</v>
      </c>
      <c r="V63" s="2">
        <f>3311445.65+56222191.94</f>
        <v>59533637.589999996</v>
      </c>
      <c r="W63" s="2">
        <f>1281078.35+54292200.96</f>
        <v>55573279.310000002</v>
      </c>
      <c r="X63" s="2">
        <f>54292200.96+1281078.35</f>
        <v>55573279.310000002</v>
      </c>
      <c r="Y63" s="2">
        <v>55305512.479999997</v>
      </c>
      <c r="Z63" s="2">
        <v>55305512.479999997</v>
      </c>
      <c r="AA63" s="16">
        <v>12430432.640000001</v>
      </c>
      <c r="AB63" s="16">
        <v>12430432.640000001</v>
      </c>
      <c r="AC63" s="16">
        <v>19001954.52</v>
      </c>
      <c r="AD63" s="16">
        <v>19001954.52</v>
      </c>
      <c r="AE63" s="16">
        <f>2101880.84+3050643.64</f>
        <v>5152524.4800000004</v>
      </c>
      <c r="AF63" s="16"/>
      <c r="AG63" s="16">
        <f>2101856.09+3050642.64</f>
        <v>5152498.7300000004</v>
      </c>
      <c r="AH63" s="16"/>
      <c r="AI63" s="16">
        <f>197520+183600</f>
        <v>381120</v>
      </c>
      <c r="AJ63" s="16"/>
      <c r="AK63" s="16">
        <f>197520+183600</f>
        <v>381120</v>
      </c>
      <c r="AL63" s="16"/>
      <c r="AM63" s="41">
        <v>22245</v>
      </c>
      <c r="AN63" s="41"/>
      <c r="AO63" s="41"/>
      <c r="AP63" s="41"/>
      <c r="AQ63" s="55"/>
      <c r="AR63" s="55"/>
      <c r="AS63" s="55"/>
      <c r="AT63" s="55"/>
      <c r="AU63" s="56" t="s">
        <v>39</v>
      </c>
      <c r="AV63" s="56"/>
    </row>
    <row r="64" spans="1:51">
      <c r="A64" s="127" t="s">
        <v>14</v>
      </c>
      <c r="B64" s="128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>
        <v>30781549.66</v>
      </c>
      <c r="Z64" s="2">
        <v>30779212.829999998</v>
      </c>
      <c r="AA64" s="16">
        <f>3305399.51+525.46</f>
        <v>3305924.9699999997</v>
      </c>
      <c r="AB64" s="16">
        <v>1468652.52</v>
      </c>
      <c r="AC64" s="16">
        <f>37418429.35+92913.85</f>
        <v>37511343.200000003</v>
      </c>
      <c r="AD64" s="16">
        <v>35708297.810000002</v>
      </c>
      <c r="AE64" s="16">
        <f>5363159.41+45867.6+4665</f>
        <v>5413692.0099999998</v>
      </c>
      <c r="AF64" s="16">
        <f>45867.6+2181170.99</f>
        <v>2227038.5900000003</v>
      </c>
      <c r="AG64" s="16">
        <v>3181988.42</v>
      </c>
      <c r="AH64" s="16"/>
      <c r="AI64" s="16">
        <v>898662.76</v>
      </c>
      <c r="AJ64" s="16">
        <v>847221.52</v>
      </c>
      <c r="AK64" s="16"/>
      <c r="AL64" s="16"/>
      <c r="AM64" s="41">
        <v>650735.35</v>
      </c>
      <c r="AN64" s="41">
        <v>650735.35</v>
      </c>
      <c r="AO64" s="41"/>
      <c r="AP64" s="41"/>
      <c r="AQ64" s="55">
        <v>57039.95</v>
      </c>
      <c r="AR64" s="55">
        <v>57039.95</v>
      </c>
      <c r="AS64" s="55"/>
      <c r="AT64" s="55"/>
      <c r="AU64" s="56"/>
      <c r="AV64" s="56"/>
    </row>
    <row r="65" spans="1:48">
      <c r="A65" s="139" t="s">
        <v>3</v>
      </c>
      <c r="B65" s="140"/>
      <c r="C65" s="138">
        <v>-7680.14</v>
      </c>
      <c r="D65" s="138">
        <f>SUM(D67:D71)</f>
        <v>0</v>
      </c>
      <c r="E65" s="138">
        <f t="shared" ref="E65:AD65" si="16">SUM(E67:E71)</f>
        <v>0</v>
      </c>
      <c r="F65" s="138">
        <f t="shared" si="16"/>
        <v>0</v>
      </c>
      <c r="G65" s="138">
        <f t="shared" si="16"/>
        <v>114426.95</v>
      </c>
      <c r="H65" s="138">
        <f t="shared" si="16"/>
        <v>0</v>
      </c>
      <c r="I65" s="138">
        <f t="shared" si="16"/>
        <v>88290.77</v>
      </c>
      <c r="J65" s="138">
        <f t="shared" si="16"/>
        <v>0</v>
      </c>
      <c r="K65" s="138">
        <f t="shared" si="16"/>
        <v>51440.42</v>
      </c>
      <c r="L65" s="138">
        <f t="shared" si="16"/>
        <v>0</v>
      </c>
      <c r="M65" s="138">
        <f t="shared" si="16"/>
        <v>169857.58</v>
      </c>
      <c r="N65" s="138">
        <f t="shared" si="16"/>
        <v>0</v>
      </c>
      <c r="O65" s="138">
        <f t="shared" si="16"/>
        <v>77731.77</v>
      </c>
      <c r="P65" s="138">
        <f t="shared" si="16"/>
        <v>0</v>
      </c>
      <c r="Q65" s="138">
        <f t="shared" si="16"/>
        <v>55035.07</v>
      </c>
      <c r="R65" s="138">
        <f t="shared" si="16"/>
        <v>0</v>
      </c>
      <c r="S65" s="138">
        <f t="shared" si="16"/>
        <v>80513.679999999993</v>
      </c>
      <c r="T65" s="138">
        <f t="shared" si="16"/>
        <v>0</v>
      </c>
      <c r="U65" s="138">
        <f t="shared" si="16"/>
        <v>77945.259999999995</v>
      </c>
      <c r="V65" s="138">
        <f t="shared" si="16"/>
        <v>0</v>
      </c>
      <c r="W65" s="138">
        <f t="shared" si="16"/>
        <v>84064.9</v>
      </c>
      <c r="X65" s="138">
        <f t="shared" si="16"/>
        <v>0</v>
      </c>
      <c r="Y65" s="138">
        <f t="shared" si="16"/>
        <v>0</v>
      </c>
      <c r="Z65" s="138">
        <f t="shared" si="16"/>
        <v>0</v>
      </c>
      <c r="AA65" s="145">
        <f t="shared" si="16"/>
        <v>663721.94999999995</v>
      </c>
      <c r="AB65" s="145">
        <f t="shared" si="16"/>
        <v>0</v>
      </c>
      <c r="AC65" s="145">
        <f t="shared" si="16"/>
        <v>856387.40999999992</v>
      </c>
      <c r="AD65" s="145">
        <f t="shared" si="16"/>
        <v>0</v>
      </c>
      <c r="AE65" s="125">
        <f t="shared" ref="AE65:AT65" si="17">AE67+AE68+AE69+AE70+AE71</f>
        <v>1745805.9500000002</v>
      </c>
      <c r="AF65" s="125">
        <f t="shared" si="17"/>
        <v>0</v>
      </c>
      <c r="AG65" s="125">
        <v>0</v>
      </c>
      <c r="AH65" s="125">
        <f t="shared" si="17"/>
        <v>0</v>
      </c>
      <c r="AI65" s="125">
        <f t="shared" si="17"/>
        <v>732891.89999999991</v>
      </c>
      <c r="AJ65" s="125">
        <f t="shared" si="17"/>
        <v>0</v>
      </c>
      <c r="AK65" s="125">
        <f t="shared" si="17"/>
        <v>0</v>
      </c>
      <c r="AL65" s="125">
        <f t="shared" si="17"/>
        <v>0</v>
      </c>
      <c r="AM65" s="125">
        <f t="shared" si="17"/>
        <v>20734.93</v>
      </c>
      <c r="AN65" s="125">
        <f t="shared" si="17"/>
        <v>0</v>
      </c>
      <c r="AO65" s="125">
        <f t="shared" si="17"/>
        <v>0</v>
      </c>
      <c r="AP65" s="125">
        <f t="shared" si="17"/>
        <v>0</v>
      </c>
      <c r="AQ65" s="150">
        <f t="shared" si="17"/>
        <v>1386076.11</v>
      </c>
      <c r="AR65" s="150">
        <f t="shared" si="17"/>
        <v>0</v>
      </c>
      <c r="AS65" s="150">
        <f t="shared" si="17"/>
        <v>0</v>
      </c>
      <c r="AT65" s="150">
        <f t="shared" si="17"/>
        <v>0</v>
      </c>
      <c r="AU65" s="143">
        <f>AQ65/AM65-1</f>
        <v>65.847397603946575</v>
      </c>
      <c r="AV65" s="143" t="e">
        <f>AS65/AO65-1</f>
        <v>#DIV/0!</v>
      </c>
    </row>
    <row r="66" spans="1:48" ht="2.4" customHeight="1">
      <c r="A66" s="141"/>
      <c r="B66" s="142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32"/>
      <c r="AB66" s="132"/>
      <c r="AC66" s="132"/>
      <c r="AD66" s="132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51"/>
      <c r="AR66" s="151"/>
      <c r="AS66" s="151"/>
      <c r="AT66" s="151"/>
      <c r="AU66" s="144"/>
      <c r="AV66" s="144"/>
    </row>
    <row r="67" spans="1:48" ht="43.8" customHeight="1">
      <c r="A67" s="127" t="s">
        <v>10</v>
      </c>
      <c r="B67" s="128"/>
      <c r="C67" s="2">
        <v>0</v>
      </c>
      <c r="D67" s="2"/>
      <c r="E67" s="2">
        <v>0</v>
      </c>
      <c r="F67" s="2"/>
      <c r="G67" s="2">
        <v>114426.95</v>
      </c>
      <c r="H67" s="2"/>
      <c r="I67" s="2">
        <v>88290.77</v>
      </c>
      <c r="J67" s="2"/>
      <c r="K67" s="2">
        <v>51440.42</v>
      </c>
      <c r="L67" s="2"/>
      <c r="M67" s="2">
        <v>169857.58</v>
      </c>
      <c r="N67" s="2"/>
      <c r="O67" s="2">
        <v>77731.77</v>
      </c>
      <c r="P67" s="2"/>
      <c r="Q67" s="2">
        <v>55035.07</v>
      </c>
      <c r="R67" s="2"/>
      <c r="S67" s="2">
        <v>80513.679999999993</v>
      </c>
      <c r="T67" s="2"/>
      <c r="U67" s="2">
        <v>77945.259999999995</v>
      </c>
      <c r="V67" s="2"/>
      <c r="W67" s="2">
        <v>84064.9</v>
      </c>
      <c r="X67" s="2"/>
      <c r="Y67" s="2"/>
      <c r="Z67" s="2"/>
      <c r="AA67" s="16">
        <v>4839.6099999999997</v>
      </c>
      <c r="AB67" s="16"/>
      <c r="AC67" s="16">
        <v>85242.16</v>
      </c>
      <c r="AD67" s="13"/>
      <c r="AE67" s="16">
        <f>72200.43+5275.44</f>
        <v>77475.87</v>
      </c>
      <c r="AF67" s="16"/>
      <c r="AG67" s="16"/>
      <c r="AH67" s="16"/>
      <c r="AI67" s="16">
        <f>8639.4+10796.51</f>
        <v>19435.91</v>
      </c>
      <c r="AJ67" s="16"/>
      <c r="AK67" s="16"/>
      <c r="AL67" s="16"/>
      <c r="AM67" s="16">
        <f>13609.88+7125.05</f>
        <v>20734.93</v>
      </c>
      <c r="AN67" s="16"/>
      <c r="AO67" s="16"/>
      <c r="AP67" s="16"/>
      <c r="AQ67" s="23">
        <f>119042.14+31761.67</f>
        <v>150803.81</v>
      </c>
      <c r="AR67" s="23"/>
      <c r="AS67" s="23"/>
      <c r="AT67" s="23"/>
      <c r="AU67" s="17"/>
      <c r="AV67" s="17"/>
    </row>
    <row r="68" spans="1:48">
      <c r="A68" s="127" t="s">
        <v>7</v>
      </c>
      <c r="B68" s="128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16">
        <v>446550.73</v>
      </c>
      <c r="AB68" s="16"/>
      <c r="AC68" s="16">
        <v>451706.16</v>
      </c>
      <c r="AD68" s="13"/>
      <c r="AE68" s="16">
        <f>696234.36+399212.22</f>
        <v>1095446.58</v>
      </c>
      <c r="AF68" s="16"/>
      <c r="AG68" s="16"/>
      <c r="AH68" s="16"/>
      <c r="AI68" s="16">
        <v>484362.5</v>
      </c>
      <c r="AJ68" s="16"/>
      <c r="AK68" s="16"/>
      <c r="AL68" s="16"/>
      <c r="AM68" s="16"/>
      <c r="AN68" s="16"/>
      <c r="AO68" s="16"/>
      <c r="AP68" s="16"/>
      <c r="AQ68" s="23">
        <f>450687.58+303489.47</f>
        <v>754177.05</v>
      </c>
      <c r="AR68" s="23"/>
      <c r="AS68" s="23"/>
      <c r="AT68" s="23"/>
      <c r="AU68" s="17"/>
      <c r="AV68" s="17"/>
    </row>
    <row r="69" spans="1:48" ht="28.2" customHeight="1">
      <c r="A69" s="127" t="s">
        <v>8</v>
      </c>
      <c r="B69" s="128"/>
      <c r="C69" s="2">
        <v>0</v>
      </c>
      <c r="D69" s="2"/>
      <c r="E69" s="2">
        <v>0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16"/>
      <c r="AB69" s="23"/>
      <c r="AC69" s="16">
        <v>319439.09000000003</v>
      </c>
      <c r="AD69" s="13"/>
      <c r="AE69" s="16">
        <f>340695.57+232187.93</f>
        <v>572883.5</v>
      </c>
      <c r="AF69" s="16"/>
      <c r="AG69" s="16"/>
      <c r="AH69" s="16"/>
      <c r="AI69" s="16">
        <v>229093.49</v>
      </c>
      <c r="AJ69" s="16"/>
      <c r="AK69" s="16"/>
      <c r="AL69" s="16"/>
      <c r="AM69" s="16"/>
      <c r="AN69" s="16"/>
      <c r="AO69" s="16"/>
      <c r="AP69" s="16"/>
      <c r="AQ69" s="23">
        <f>258087.44+139671.81</f>
        <v>397759.25</v>
      </c>
      <c r="AR69" s="23"/>
      <c r="AS69" s="23"/>
      <c r="AT69" s="23"/>
      <c r="AU69" s="17"/>
      <c r="AV69" s="17"/>
    </row>
    <row r="70" spans="1:48">
      <c r="A70" s="127" t="s">
        <v>9</v>
      </c>
      <c r="B70" s="128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16">
        <v>212331.61</v>
      </c>
      <c r="AB70" s="16"/>
      <c r="AC70" s="16"/>
      <c r="AD70" s="13"/>
      <c r="AE70" s="16"/>
      <c r="AF70" s="16"/>
      <c r="AG70" s="16"/>
      <c r="AH70" s="16"/>
      <c r="AI70" s="16"/>
      <c r="AJ70" s="16"/>
      <c r="AK70" s="16"/>
      <c r="AL70" s="16"/>
      <c r="AM70" s="13"/>
      <c r="AN70" s="13"/>
      <c r="AO70" s="13"/>
      <c r="AP70" s="13"/>
      <c r="AQ70" s="23"/>
      <c r="AR70" s="23"/>
      <c r="AS70" s="23"/>
      <c r="AT70" s="23"/>
      <c r="AU70" s="17"/>
      <c r="AV70" s="17"/>
    </row>
    <row r="71" spans="1:48">
      <c r="A71" s="127" t="s">
        <v>14</v>
      </c>
      <c r="B71" s="128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13"/>
      <c r="AB71" s="13"/>
      <c r="AC71" s="13"/>
      <c r="AD71" s="13"/>
      <c r="AE71" s="16"/>
      <c r="AF71" s="16"/>
      <c r="AG71" s="16"/>
      <c r="AH71" s="16"/>
      <c r="AI71" s="13"/>
      <c r="AJ71" s="13"/>
      <c r="AK71" s="13"/>
      <c r="AL71" s="13"/>
      <c r="AM71" s="13"/>
      <c r="AN71" s="13"/>
      <c r="AO71" s="13"/>
      <c r="AP71" s="13"/>
      <c r="AQ71" s="23">
        <v>83336</v>
      </c>
      <c r="AR71" s="23"/>
      <c r="AS71" s="23"/>
      <c r="AT71" s="23"/>
      <c r="AU71" s="17"/>
      <c r="AV71" s="17"/>
    </row>
    <row r="72" spans="1:48">
      <c r="A72" s="139" t="s">
        <v>16</v>
      </c>
      <c r="B72" s="140"/>
      <c r="C72" s="138">
        <v>24738.76</v>
      </c>
      <c r="D72" s="138">
        <f t="shared" ref="D72:Z72" si="18">SUM(D74:D78)</f>
        <v>0</v>
      </c>
      <c r="E72" s="138">
        <f t="shared" si="18"/>
        <v>162585.41</v>
      </c>
      <c r="F72" s="138">
        <f t="shared" si="18"/>
        <v>0</v>
      </c>
      <c r="G72" s="138">
        <f t="shared" si="18"/>
        <v>2836261.8599999994</v>
      </c>
      <c r="H72" s="138">
        <f t="shared" si="18"/>
        <v>179639.45</v>
      </c>
      <c r="I72" s="138">
        <f t="shared" si="18"/>
        <v>2968161.5</v>
      </c>
      <c r="J72" s="138">
        <f t="shared" si="18"/>
        <v>179639.45</v>
      </c>
      <c r="K72" s="138">
        <f t="shared" si="18"/>
        <v>3579888.6599999997</v>
      </c>
      <c r="L72" s="138">
        <f t="shared" si="18"/>
        <v>179639.45</v>
      </c>
      <c r="M72" s="138">
        <f t="shared" si="18"/>
        <v>2288254.44</v>
      </c>
      <c r="N72" s="138">
        <f t="shared" si="18"/>
        <v>179639.45</v>
      </c>
      <c r="O72" s="138">
        <f t="shared" si="18"/>
        <v>2699902.61</v>
      </c>
      <c r="P72" s="138">
        <f t="shared" si="18"/>
        <v>179639.45</v>
      </c>
      <c r="Q72" s="138">
        <f t="shared" si="18"/>
        <v>2782603.59</v>
      </c>
      <c r="R72" s="138">
        <f t="shared" si="18"/>
        <v>179639.45</v>
      </c>
      <c r="S72" s="138">
        <f t="shared" si="18"/>
        <v>2615855.7999999998</v>
      </c>
      <c r="T72" s="138">
        <f t="shared" si="18"/>
        <v>179639.45</v>
      </c>
      <c r="U72" s="138">
        <f t="shared" si="18"/>
        <v>2483055.5499999998</v>
      </c>
      <c r="V72" s="138">
        <f t="shared" si="18"/>
        <v>142806.04</v>
      </c>
      <c r="W72" s="138">
        <f t="shared" si="18"/>
        <v>2680559.16</v>
      </c>
      <c r="X72" s="138">
        <f t="shared" si="18"/>
        <v>142806.04</v>
      </c>
      <c r="Y72" s="138">
        <f t="shared" si="18"/>
        <v>79878.12999999999</v>
      </c>
      <c r="Z72" s="138">
        <f t="shared" si="18"/>
        <v>0</v>
      </c>
      <c r="AA72" s="145">
        <f>SUM(AA74:AA78)</f>
        <v>2592606.9299999997</v>
      </c>
      <c r="AB72" s="145">
        <f>SUM(AB74:AB78)</f>
        <v>0</v>
      </c>
      <c r="AC72" s="145">
        <f>SUM(AC74:AC78)</f>
        <v>4410926.9800000004</v>
      </c>
      <c r="AD72" s="145">
        <f>SUM(AD74:AD78)</f>
        <v>1508980.59</v>
      </c>
      <c r="AE72" s="125">
        <f t="shared" ref="AE72:AF72" si="19">AE74+AE75+AE76+AE77+AE78</f>
        <v>4401686.4800000004</v>
      </c>
      <c r="AF72" s="125">
        <f t="shared" si="19"/>
        <v>4300435.1999999993</v>
      </c>
      <c r="AG72" s="125">
        <v>0</v>
      </c>
      <c r="AH72" s="125">
        <v>0</v>
      </c>
      <c r="AI72" s="125">
        <f t="shared" ref="AI72:AT72" si="20">AI74+AI75+AI76+AI77+AI78</f>
        <v>5541568.0600000005</v>
      </c>
      <c r="AJ72" s="125">
        <f t="shared" si="20"/>
        <v>0</v>
      </c>
      <c r="AK72" s="125">
        <f>AK74+AK75+AK76+AK77+AK78</f>
        <v>0</v>
      </c>
      <c r="AL72" s="125">
        <f t="shared" si="20"/>
        <v>0</v>
      </c>
      <c r="AM72" s="150">
        <f t="shared" si="20"/>
        <v>4905226.87</v>
      </c>
      <c r="AN72" s="150">
        <f t="shared" si="20"/>
        <v>4859923.91</v>
      </c>
      <c r="AO72" s="150">
        <f t="shared" si="20"/>
        <v>0</v>
      </c>
      <c r="AP72" s="150">
        <f t="shared" si="20"/>
        <v>0</v>
      </c>
      <c r="AQ72" s="150">
        <f t="shared" si="20"/>
        <v>4917900</v>
      </c>
      <c r="AR72" s="150">
        <f t="shared" si="20"/>
        <v>4769765.8299999991</v>
      </c>
      <c r="AS72" s="150">
        <f t="shared" si="20"/>
        <v>0</v>
      </c>
      <c r="AT72" s="150">
        <f t="shared" si="20"/>
        <v>0</v>
      </c>
      <c r="AU72" s="143">
        <f>AQ72/AM72-1</f>
        <v>2.5835971170891092E-3</v>
      </c>
      <c r="AV72" s="143" t="e">
        <f>AS72/AO72-1</f>
        <v>#DIV/0!</v>
      </c>
    </row>
    <row r="73" spans="1:48">
      <c r="A73" s="141"/>
      <c r="B73" s="142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32"/>
      <c r="AB73" s="132"/>
      <c r="AC73" s="132"/>
      <c r="AD73" s="132"/>
      <c r="AE73" s="126"/>
      <c r="AF73" s="126"/>
      <c r="AG73" s="126"/>
      <c r="AH73" s="126"/>
      <c r="AI73" s="126"/>
      <c r="AJ73" s="126"/>
      <c r="AK73" s="126"/>
      <c r="AL73" s="126"/>
      <c r="AM73" s="151"/>
      <c r="AN73" s="151"/>
      <c r="AO73" s="151"/>
      <c r="AP73" s="151"/>
      <c r="AQ73" s="151"/>
      <c r="AR73" s="151"/>
      <c r="AS73" s="151"/>
      <c r="AT73" s="151"/>
      <c r="AU73" s="144"/>
      <c r="AV73" s="144"/>
    </row>
    <row r="74" spans="1:48" ht="42.6" customHeight="1">
      <c r="A74" s="127" t="s">
        <v>10</v>
      </c>
      <c r="B74" s="128"/>
      <c r="C74" s="2"/>
      <c r="D74" s="2"/>
      <c r="E74" s="2">
        <v>162585.41</v>
      </c>
      <c r="F74" s="2"/>
      <c r="G74" s="2">
        <f>410855.69+138863.03</f>
        <v>549718.72</v>
      </c>
      <c r="H74" s="2">
        <v>179639.45</v>
      </c>
      <c r="I74" s="2">
        <f>349786.74+482870.23</f>
        <v>832656.97</v>
      </c>
      <c r="J74" s="2">
        <v>179639.45</v>
      </c>
      <c r="K74" s="2">
        <f>325550.4+256894.84</f>
        <v>582445.24</v>
      </c>
      <c r="L74" s="2">
        <v>179639.45</v>
      </c>
      <c r="M74" s="2">
        <f>32098.35+367708.31</f>
        <v>399806.66</v>
      </c>
      <c r="N74" s="2">
        <v>179639.45</v>
      </c>
      <c r="O74" s="2">
        <f>19053.66+339996.73</f>
        <v>359050.38999999996</v>
      </c>
      <c r="P74" s="2">
        <v>179639.45</v>
      </c>
      <c r="Q74" s="2">
        <f>214101.64+184501.39</f>
        <v>398603.03</v>
      </c>
      <c r="R74" s="2">
        <v>179639.45</v>
      </c>
      <c r="S74" s="2">
        <f>293392.92+82646.26</f>
        <v>376039.18</v>
      </c>
      <c r="T74" s="2">
        <v>179639.45</v>
      </c>
      <c r="U74" s="2">
        <f>18347.3+293392.92</f>
        <v>311740.21999999997</v>
      </c>
      <c r="V74" s="2">
        <f>142806.04</f>
        <v>142806.04</v>
      </c>
      <c r="W74" s="2">
        <f>175124.05+248350.04</f>
        <v>423474.08999999997</v>
      </c>
      <c r="X74" s="2">
        <v>142806.04</v>
      </c>
      <c r="Y74" s="2">
        <v>99147.76</v>
      </c>
      <c r="Z74" s="2"/>
      <c r="AA74" s="16">
        <f>23731.53+27555.65</f>
        <v>51287.18</v>
      </c>
      <c r="AB74" s="16"/>
      <c r="AC74" s="16">
        <f>36698.81+43106.43</f>
        <v>79805.239999999991</v>
      </c>
      <c r="AD74" s="16"/>
      <c r="AE74" s="16">
        <f>54159.74+22819.27+80774.94</f>
        <v>157753.95000000001</v>
      </c>
      <c r="AF74" s="28">
        <f>54159.74+22819.27</f>
        <v>76979.009999999995</v>
      </c>
      <c r="AG74" s="16"/>
      <c r="AH74" s="16"/>
      <c r="AI74" s="16">
        <f>43925.96+153933.91+15985</f>
        <v>213844.87</v>
      </c>
      <c r="AJ74" s="16"/>
      <c r="AK74" s="16"/>
      <c r="AL74" s="16"/>
      <c r="AM74" s="23">
        <f>68648.13+19758.87+16981.5</f>
        <v>105388.5</v>
      </c>
      <c r="AN74" s="23">
        <f>68648.13+19758.87</f>
        <v>88407</v>
      </c>
      <c r="AO74" s="23">
        <v>0</v>
      </c>
      <c r="AP74" s="23"/>
      <c r="AQ74" s="23">
        <f>41745.41+20000+185481.93+108110.48</f>
        <v>355337.82</v>
      </c>
      <c r="AR74" s="23">
        <f>41745.41+185481.93</f>
        <v>227227.34</v>
      </c>
      <c r="AS74" s="23"/>
      <c r="AT74" s="23"/>
      <c r="AU74" s="17"/>
      <c r="AV74" s="17"/>
    </row>
    <row r="75" spans="1:48">
      <c r="A75" s="127" t="s">
        <v>7</v>
      </c>
      <c r="B75" s="128"/>
      <c r="C75" s="2"/>
      <c r="D75" s="2"/>
      <c r="E75" s="2"/>
      <c r="F75" s="2"/>
      <c r="G75" s="2">
        <f>1280106.96+331142.71</f>
        <v>1611249.67</v>
      </c>
      <c r="H75" s="2"/>
      <c r="I75" s="2">
        <f>1112706.33+292125.54</f>
        <v>1404831.87</v>
      </c>
      <c r="J75" s="2"/>
      <c r="K75" s="2">
        <f>1664826.89+424726.47</f>
        <v>2089553.3599999999</v>
      </c>
      <c r="L75" s="2"/>
      <c r="M75" s="2">
        <v>1291836.76</v>
      </c>
      <c r="N75" s="2"/>
      <c r="O75" s="2">
        <f>336869.12+1006180.12</f>
        <v>1343049.24</v>
      </c>
      <c r="P75" s="2"/>
      <c r="Q75" s="2">
        <f>290310.2+1054801</f>
        <v>1345111.2</v>
      </c>
      <c r="R75" s="2"/>
      <c r="S75" s="2">
        <f>210412.6+1031728.18</f>
        <v>1242140.78</v>
      </c>
      <c r="T75" s="2"/>
      <c r="U75" s="2">
        <f>144677.62+1051908.03</f>
        <v>1196585.6499999999</v>
      </c>
      <c r="V75" s="2"/>
      <c r="W75" s="2">
        <f>257630.31+1025805.39</f>
        <v>1283435.7</v>
      </c>
      <c r="X75" s="2"/>
      <c r="Y75" s="2"/>
      <c r="Z75" s="2"/>
      <c r="AA75" s="16">
        <f>367554.1+1092399.95</f>
        <v>1459954.0499999998</v>
      </c>
      <c r="AB75" s="16"/>
      <c r="AC75" s="16">
        <f>413160.07+976030.95</f>
        <v>1389191.02</v>
      </c>
      <c r="AD75" s="16"/>
      <c r="AE75" s="16">
        <f>399497.7+11131.38+1854102.36</f>
        <v>2264731.44</v>
      </c>
      <c r="AF75" s="16">
        <f>399497.7+1854102.36</f>
        <v>2253600.06</v>
      </c>
      <c r="AG75" s="16"/>
      <c r="AH75" s="16"/>
      <c r="AI75" s="16">
        <f>399597.7+2840800+11081.38</f>
        <v>3251479.08</v>
      </c>
      <c r="AJ75" s="16"/>
      <c r="AK75" s="16"/>
      <c r="AL75" s="16"/>
      <c r="AM75" s="23">
        <f>399497.7+17529.95+2611285.51</f>
        <v>3028313.1599999997</v>
      </c>
      <c r="AN75" s="23">
        <f>399497.7+2611285.51</f>
        <v>3010783.21</v>
      </c>
      <c r="AO75" s="23"/>
      <c r="AP75" s="23"/>
      <c r="AQ75" s="23">
        <f>308062.92+12341.55+2308354.02</f>
        <v>2628758.4900000002</v>
      </c>
      <c r="AR75" s="23">
        <f>308062.92+2308354.02</f>
        <v>2616416.94</v>
      </c>
      <c r="AS75" s="23"/>
      <c r="AT75" s="23"/>
      <c r="AU75" s="17"/>
      <c r="AV75" s="17"/>
    </row>
    <row r="76" spans="1:48" ht="29.4" customHeight="1">
      <c r="A76" s="127" t="s">
        <v>8</v>
      </c>
      <c r="B76" s="128"/>
      <c r="C76" s="2"/>
      <c r="D76" s="2"/>
      <c r="E76" s="2"/>
      <c r="F76" s="2"/>
      <c r="G76" s="2">
        <f>191330.96+483962.51</f>
        <v>675293.47</v>
      </c>
      <c r="H76" s="2"/>
      <c r="I76" s="2">
        <f>171605.74+559066.92</f>
        <v>730672.66</v>
      </c>
      <c r="J76" s="2"/>
      <c r="K76" s="2">
        <f>209944.24+697945.82</f>
        <v>907890.05999999994</v>
      </c>
      <c r="L76" s="2"/>
      <c r="M76" s="2">
        <v>596611.02</v>
      </c>
      <c r="N76" s="2"/>
      <c r="O76" s="2">
        <f>198862.88+580042.1</f>
        <v>778904.98</v>
      </c>
      <c r="P76" s="2"/>
      <c r="Q76" s="2">
        <f>612669.18+219338.18</f>
        <v>832007.3600000001</v>
      </c>
      <c r="R76" s="2"/>
      <c r="S76" s="2">
        <f>201317.46+630998.38</f>
        <v>832315.84</v>
      </c>
      <c r="T76" s="2"/>
      <c r="U76" s="2">
        <f>184341.93+601701.1</f>
        <v>786043.03</v>
      </c>
      <c r="V76" s="2"/>
      <c r="W76" s="2">
        <f>177715.19+604861.18</f>
        <v>782576.37000000011</v>
      </c>
      <c r="X76" s="2"/>
      <c r="Y76" s="2">
        <v>-9193.7999999999993</v>
      </c>
      <c r="Z76" s="2"/>
      <c r="AA76" s="16">
        <f>254861.86+627161.14</f>
        <v>882023</v>
      </c>
      <c r="AB76" s="16"/>
      <c r="AC76" s="16">
        <f>363441.69+1320113.41</f>
        <v>1683555.0999999999</v>
      </c>
      <c r="AD76" s="16">
        <f>20923.56+643955.03</f>
        <v>664878.59000000008</v>
      </c>
      <c r="AE76" s="16">
        <f>283794.68+8867.96+960334.11</f>
        <v>1252996.75</v>
      </c>
      <c r="AF76" s="16">
        <f>283794.68+960334.11</f>
        <v>1244128.79</v>
      </c>
      <c r="AG76" s="16"/>
      <c r="AH76" s="16"/>
      <c r="AI76" s="16">
        <f>257174.49+1213163.76+30859.57</f>
        <v>1501197.82</v>
      </c>
      <c r="AJ76" s="16"/>
      <c r="AK76" s="16"/>
      <c r="AL76" s="16"/>
      <c r="AM76" s="23">
        <f>158284.05+10791.51+1060420.11</f>
        <v>1229495.6700000002</v>
      </c>
      <c r="AN76" s="23">
        <f>158284.05+1060420.11</f>
        <v>1218704.1600000001</v>
      </c>
      <c r="AO76" s="23"/>
      <c r="AP76" s="23"/>
      <c r="AQ76" s="23">
        <f>183189.84+7682.14+1250477.49</f>
        <v>1441349.47</v>
      </c>
      <c r="AR76" s="23">
        <f>183189.84+1250477.49</f>
        <v>1433667.33</v>
      </c>
      <c r="AS76" s="23"/>
      <c r="AT76" s="23"/>
      <c r="AU76" s="17"/>
      <c r="AV76" s="17"/>
    </row>
    <row r="77" spans="1:48">
      <c r="A77" s="127" t="s">
        <v>9</v>
      </c>
      <c r="B77" s="128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>
        <f>218898</f>
        <v>218898</v>
      </c>
      <c r="P77" s="2"/>
      <c r="Q77" s="2">
        <v>206882</v>
      </c>
      <c r="R77" s="2"/>
      <c r="S77" s="2">
        <v>165360</v>
      </c>
      <c r="T77" s="2"/>
      <c r="U77" s="2">
        <v>188686.65</v>
      </c>
      <c r="V77" s="2"/>
      <c r="W77" s="2">
        <f>191073</f>
        <v>191073</v>
      </c>
      <c r="X77" s="2"/>
      <c r="Y77" s="2">
        <v>-12759</v>
      </c>
      <c r="Z77" s="2"/>
      <c r="AA77" s="16"/>
      <c r="AB77" s="16"/>
      <c r="AC77" s="16"/>
      <c r="AD77" s="16"/>
      <c r="AE77" s="16">
        <f>92285.57+477</f>
        <v>92762.57</v>
      </c>
      <c r="AF77" s="16">
        <v>92285.57</v>
      </c>
      <c r="AG77" s="16"/>
      <c r="AH77" s="16"/>
      <c r="AI77" s="16">
        <f>119356.57+170</f>
        <v>119526.57</v>
      </c>
      <c r="AJ77" s="16"/>
      <c r="AK77" s="16"/>
      <c r="AL77" s="16"/>
      <c r="AM77" s="23">
        <v>64281.21</v>
      </c>
      <c r="AN77" s="23">
        <v>64281.21</v>
      </c>
      <c r="AO77" s="23"/>
      <c r="AP77" s="23"/>
      <c r="AQ77" s="23"/>
      <c r="AR77" s="23"/>
      <c r="AS77" s="23"/>
      <c r="AT77" s="23"/>
      <c r="AU77" s="17"/>
      <c r="AV77" s="17"/>
    </row>
    <row r="78" spans="1:48">
      <c r="A78" s="127" t="s">
        <v>14</v>
      </c>
      <c r="B78" s="128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>
        <v>2683.17</v>
      </c>
      <c r="Z78" s="2"/>
      <c r="AA78" s="16">
        <v>199342.7</v>
      </c>
      <c r="AB78" s="16"/>
      <c r="AC78" s="16">
        <f>1258375.62</f>
        <v>1258375.6200000001</v>
      </c>
      <c r="AD78" s="16">
        <v>844102</v>
      </c>
      <c r="AE78" s="16">
        <f>633441.77</f>
        <v>633441.77</v>
      </c>
      <c r="AF78" s="16">
        <v>633441.77</v>
      </c>
      <c r="AG78" s="16"/>
      <c r="AH78" s="16"/>
      <c r="AI78" s="16">
        <v>455519.72</v>
      </c>
      <c r="AJ78" s="16"/>
      <c r="AK78" s="16"/>
      <c r="AL78" s="16"/>
      <c r="AM78" s="23">
        <v>477748.33</v>
      </c>
      <c r="AN78" s="23">
        <v>477748.33</v>
      </c>
      <c r="AO78" s="23"/>
      <c r="AP78" s="23"/>
      <c r="AQ78" s="23">
        <v>492454.22</v>
      </c>
      <c r="AR78" s="23">
        <v>492454.22</v>
      </c>
      <c r="AS78" s="23"/>
      <c r="AT78" s="23"/>
      <c r="AU78" s="17"/>
      <c r="AV78" s="17"/>
    </row>
    <row r="79" spans="1:48">
      <c r="A79" s="139" t="s">
        <v>52</v>
      </c>
      <c r="B79" s="140"/>
      <c r="C79" s="138">
        <v>10765845.27</v>
      </c>
      <c r="D79" s="138">
        <v>7171240.7400000002</v>
      </c>
      <c r="E79" s="138">
        <f>SUM(E81:E85)</f>
        <v>13066265.32</v>
      </c>
      <c r="F79" s="138">
        <f>SUM(F81:F85)</f>
        <v>9363054.25</v>
      </c>
      <c r="G79" s="138">
        <f t="shared" ref="G79:AC79" si="21">SUM(G81:G85)</f>
        <v>12452961.670000002</v>
      </c>
      <c r="H79" s="138">
        <f t="shared" si="21"/>
        <v>10697359.270000001</v>
      </c>
      <c r="I79" s="138">
        <f t="shared" si="21"/>
        <v>10509503.82</v>
      </c>
      <c r="J79" s="138">
        <f t="shared" si="21"/>
        <v>9311032.910000002</v>
      </c>
      <c r="K79" s="138">
        <f t="shared" si="21"/>
        <v>9816963.7700000014</v>
      </c>
      <c r="L79" s="138">
        <f t="shared" si="21"/>
        <v>9514146.0000000019</v>
      </c>
      <c r="M79" s="138">
        <f t="shared" si="21"/>
        <v>10491903.119999999</v>
      </c>
      <c r="N79" s="138">
        <f t="shared" si="21"/>
        <v>10223094.629999999</v>
      </c>
      <c r="O79" s="138">
        <f t="shared" si="21"/>
        <v>11041075.82</v>
      </c>
      <c r="P79" s="138">
        <f t="shared" si="21"/>
        <v>9852688.540000001</v>
      </c>
      <c r="Q79" s="138">
        <f t="shared" si="21"/>
        <v>11491967.560000001</v>
      </c>
      <c r="R79" s="138">
        <f t="shared" si="21"/>
        <v>9865070.0600000005</v>
      </c>
      <c r="S79" s="138">
        <f t="shared" si="21"/>
        <v>12060303.5</v>
      </c>
      <c r="T79" s="138">
        <f t="shared" si="21"/>
        <v>10862190.040000001</v>
      </c>
      <c r="U79" s="138">
        <f t="shared" si="21"/>
        <v>11619250.300000001</v>
      </c>
      <c r="V79" s="138">
        <f t="shared" si="21"/>
        <v>9816511.040000001</v>
      </c>
      <c r="W79" s="138">
        <f t="shared" si="21"/>
        <v>11514591.1</v>
      </c>
      <c r="X79" s="138">
        <f t="shared" si="21"/>
        <v>10293165.02</v>
      </c>
      <c r="Y79" s="138">
        <f t="shared" si="21"/>
        <v>14972637.870000001</v>
      </c>
      <c r="Z79" s="138">
        <f t="shared" si="21"/>
        <v>11006589.689999999</v>
      </c>
      <c r="AA79" s="145">
        <f t="shared" si="21"/>
        <v>11434380.700000001</v>
      </c>
      <c r="AB79" s="145">
        <f t="shared" si="21"/>
        <v>1118646.56</v>
      </c>
      <c r="AC79" s="145">
        <f t="shared" si="21"/>
        <v>20378851.969999999</v>
      </c>
      <c r="AD79" s="145">
        <f t="shared" ref="AD79:AG79" si="22">AD81+AD82+AD83+AD84+AD85</f>
        <v>6845671.4899999993</v>
      </c>
      <c r="AE79" s="125">
        <f t="shared" si="22"/>
        <v>16329235.25</v>
      </c>
      <c r="AF79" s="125">
        <v>0</v>
      </c>
      <c r="AG79" s="125">
        <f t="shared" si="22"/>
        <v>5018242.82</v>
      </c>
      <c r="AH79" s="125">
        <v>0</v>
      </c>
      <c r="AI79" s="125">
        <f>AI81+AI82+AI83+AI84+AI85</f>
        <v>11485051.780000001</v>
      </c>
      <c r="AJ79" s="125"/>
      <c r="AK79" s="125">
        <f t="shared" ref="AK79:AT79" si="23">AK81+AK82+AK83+AK84+AK85</f>
        <v>0</v>
      </c>
      <c r="AL79" s="125">
        <f t="shared" si="23"/>
        <v>0</v>
      </c>
      <c r="AM79" s="150">
        <f t="shared" si="23"/>
        <v>7488101.6000000006</v>
      </c>
      <c r="AN79" s="150">
        <f t="shared" si="23"/>
        <v>0</v>
      </c>
      <c r="AO79" s="150">
        <f t="shared" si="23"/>
        <v>0</v>
      </c>
      <c r="AP79" s="150">
        <f t="shared" si="23"/>
        <v>0</v>
      </c>
      <c r="AQ79" s="150">
        <f t="shared" si="23"/>
        <v>11076581.500000002</v>
      </c>
      <c r="AR79" s="150">
        <f t="shared" si="23"/>
        <v>0</v>
      </c>
      <c r="AS79" s="150">
        <f t="shared" si="23"/>
        <v>0</v>
      </c>
      <c r="AT79" s="150">
        <f t="shared" si="23"/>
        <v>0</v>
      </c>
      <c r="AU79" s="143">
        <f>AQ79/AM79-1</f>
        <v>0.47922425358117482</v>
      </c>
      <c r="AV79" s="143" t="e">
        <f>AS79/AO79-1</f>
        <v>#DIV/0!</v>
      </c>
    </row>
    <row r="80" spans="1:48">
      <c r="A80" s="141"/>
      <c r="B80" s="142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32"/>
      <c r="AB80" s="132"/>
      <c r="AC80" s="132"/>
      <c r="AD80" s="132"/>
      <c r="AE80" s="126"/>
      <c r="AF80" s="126"/>
      <c r="AG80" s="126"/>
      <c r="AH80" s="126"/>
      <c r="AI80" s="126"/>
      <c r="AJ80" s="126"/>
      <c r="AK80" s="126"/>
      <c r="AL80" s="126"/>
      <c r="AM80" s="151"/>
      <c r="AN80" s="151"/>
      <c r="AO80" s="151"/>
      <c r="AP80" s="151"/>
      <c r="AQ80" s="151"/>
      <c r="AR80" s="151"/>
      <c r="AS80" s="151"/>
      <c r="AT80" s="151"/>
      <c r="AU80" s="144"/>
      <c r="AV80" s="144"/>
    </row>
    <row r="81" spans="1:48" ht="42.6" customHeight="1">
      <c r="A81" s="127" t="s">
        <v>10</v>
      </c>
      <c r="B81" s="128"/>
      <c r="C81" s="2"/>
      <c r="D81" s="2"/>
      <c r="E81" s="2">
        <v>1445875.56</v>
      </c>
      <c r="F81" s="2">
        <v>504057.32</v>
      </c>
      <c r="G81" s="2">
        <f>15780.83+1401592.32</f>
        <v>1417373.1500000001</v>
      </c>
      <c r="H81" s="2">
        <f>497307.75</f>
        <v>497307.75</v>
      </c>
      <c r="I81" s="2">
        <f>14359.15+1094634.15</f>
        <v>1108993.2999999998</v>
      </c>
      <c r="J81" s="2">
        <v>581610.39</v>
      </c>
      <c r="K81" s="2">
        <f>45290.3+812014.95</f>
        <v>857305.25</v>
      </c>
      <c r="L81" s="2">
        <v>554487.48</v>
      </c>
      <c r="M81" s="2">
        <f>22392+828113.09</f>
        <v>850505.09</v>
      </c>
      <c r="N81" s="2">
        <f>581696.6</f>
        <v>581696.6</v>
      </c>
      <c r="O81" s="2">
        <f>24207.15+1590490.12</f>
        <v>1614697.27</v>
      </c>
      <c r="P81" s="2">
        <f>484794.48</f>
        <v>484794.48</v>
      </c>
      <c r="Q81" s="2">
        <v>1906086.62</v>
      </c>
      <c r="R81" s="2"/>
      <c r="S81" s="2">
        <f>23600.15+1705289.54</f>
        <v>1728889.69</v>
      </c>
      <c r="T81" s="2">
        <v>530776.23</v>
      </c>
      <c r="U81" s="2">
        <f>2268996.34+30919.15</f>
        <v>2299915.4899999998</v>
      </c>
      <c r="V81" s="2">
        <v>497176.23</v>
      </c>
      <c r="W81" s="2">
        <f>2127960.81+48959.2</f>
        <v>2176920.0100000002</v>
      </c>
      <c r="X81" s="2">
        <v>955493.93</v>
      </c>
      <c r="Y81" s="2">
        <v>2219644.2799999998</v>
      </c>
      <c r="Z81" s="2">
        <f>782752.86</f>
        <v>782752.86</v>
      </c>
      <c r="AA81" s="16">
        <f>25455.33+3676740.99</f>
        <v>3702196.3200000003</v>
      </c>
      <c r="AB81" s="16">
        <v>370926</v>
      </c>
      <c r="AC81" s="16">
        <f>25119.87+10218497.79</f>
        <v>10243617.659999998</v>
      </c>
      <c r="AD81" s="16">
        <v>3812324.48</v>
      </c>
      <c r="AE81" s="16">
        <f>36469.87+5446750.25</f>
        <v>5483220.1200000001</v>
      </c>
      <c r="AF81" s="32">
        <v>0</v>
      </c>
      <c r="AG81" s="16">
        <v>2700000</v>
      </c>
      <c r="AH81" s="16">
        <v>0</v>
      </c>
      <c r="AI81" s="16">
        <f>10710.07+2822965.23</f>
        <v>2833675.3</v>
      </c>
      <c r="AJ81" s="16"/>
      <c r="AK81" s="16"/>
      <c r="AL81" s="16"/>
      <c r="AM81" s="23">
        <f>9192.56+2282555.49</f>
        <v>2291748.0500000003</v>
      </c>
      <c r="AN81" s="23"/>
      <c r="AO81" s="23"/>
      <c r="AP81" s="23"/>
      <c r="AQ81" s="23">
        <f>17130+2753044.22</f>
        <v>2770174.22</v>
      </c>
      <c r="AR81" s="23"/>
      <c r="AS81" s="23"/>
      <c r="AT81" s="23"/>
      <c r="AU81" s="17"/>
      <c r="AV81" s="17"/>
    </row>
    <row r="82" spans="1:48">
      <c r="A82" s="127" t="s">
        <v>7</v>
      </c>
      <c r="B82" s="128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>
        <v>107414.79</v>
      </c>
      <c r="R82" s="2"/>
      <c r="S82" s="2"/>
      <c r="T82" s="2"/>
      <c r="U82" s="2"/>
      <c r="V82" s="2"/>
      <c r="W82" s="2"/>
      <c r="X82" s="2"/>
      <c r="Y82" s="2"/>
      <c r="Z82" s="2"/>
      <c r="AA82" s="16">
        <f>240366.78+3338386.23</f>
        <v>3578753.01</v>
      </c>
      <c r="AB82" s="16"/>
      <c r="AC82" s="16">
        <f>213303.85+3570475.36</f>
        <v>3783779.21</v>
      </c>
      <c r="AD82" s="16"/>
      <c r="AE82" s="16">
        <f>1013379.37+4504888.09</f>
        <v>5518267.46</v>
      </c>
      <c r="AF82" s="16"/>
      <c r="AG82" s="16"/>
      <c r="AH82" s="16"/>
      <c r="AI82" s="16">
        <f>1131560.79+5170327.87</f>
        <v>6301888.6600000001</v>
      </c>
      <c r="AJ82" s="16"/>
      <c r="AK82" s="16"/>
      <c r="AL82" s="16"/>
      <c r="AM82" s="23">
        <v>4301429.2699999996</v>
      </c>
      <c r="AN82" s="23"/>
      <c r="AO82" s="23"/>
      <c r="AP82" s="23"/>
      <c r="AQ82" s="23">
        <f>1411434.87+4398778.94</f>
        <v>5810213.8100000005</v>
      </c>
      <c r="AR82" s="23"/>
      <c r="AS82" s="23"/>
      <c r="AT82" s="23"/>
      <c r="AU82" s="17"/>
      <c r="AV82" s="17"/>
    </row>
    <row r="83" spans="1:48" ht="28.8" customHeight="1">
      <c r="A83" s="127" t="s">
        <v>8</v>
      </c>
      <c r="B83" s="128"/>
      <c r="C83" s="2"/>
      <c r="D83" s="2"/>
      <c r="E83" s="2">
        <v>1463841.51</v>
      </c>
      <c r="F83" s="2"/>
      <c r="G83" s="2">
        <v>166700</v>
      </c>
      <c r="H83" s="2"/>
      <c r="I83" s="2"/>
      <c r="J83" s="2"/>
      <c r="K83" s="2"/>
      <c r="L83" s="2"/>
      <c r="M83" s="2"/>
      <c r="N83" s="2"/>
      <c r="O83" s="2">
        <v>27151.16</v>
      </c>
      <c r="P83" s="2"/>
      <c r="Q83" s="2">
        <v>78572.100000000006</v>
      </c>
      <c r="R83" s="2"/>
      <c r="S83" s="2"/>
      <c r="T83" s="2"/>
      <c r="U83" s="2"/>
      <c r="V83" s="2"/>
      <c r="W83" s="2"/>
      <c r="X83" s="2"/>
      <c r="Y83" s="2">
        <v>1439851.12</v>
      </c>
      <c r="Z83" s="2"/>
      <c r="AA83" s="16">
        <f>182858.49+1828141.64</f>
        <v>2011000.13</v>
      </c>
      <c r="AB83" s="16"/>
      <c r="AC83" s="16">
        <f>194574.38+2050743.86</f>
        <v>2245318.2400000002</v>
      </c>
      <c r="AD83" s="16"/>
      <c r="AE83" s="16">
        <f>840855.82+2166721.03</f>
        <v>3007576.8499999996</v>
      </c>
      <c r="AF83" s="16"/>
      <c r="AG83" s="16"/>
      <c r="AH83" s="16"/>
      <c r="AI83" s="16">
        <f>482166.78+1867321.04</f>
        <v>2349487.8200000003</v>
      </c>
      <c r="AJ83" s="16"/>
      <c r="AK83" s="16"/>
      <c r="AL83" s="16"/>
      <c r="AM83" s="23">
        <f>63.85+894860.43</f>
        <v>894924.28</v>
      </c>
      <c r="AN83" s="23"/>
      <c r="AO83" s="23"/>
      <c r="AP83" s="23"/>
      <c r="AQ83" s="23">
        <f>549649.1+1946544.37</f>
        <v>2496193.4700000002</v>
      </c>
      <c r="AR83" s="23"/>
      <c r="AS83" s="23"/>
      <c r="AT83" s="23"/>
      <c r="AU83" s="17"/>
      <c r="AV83" s="17"/>
    </row>
    <row r="84" spans="1:48">
      <c r="A84" s="127" t="s">
        <v>9</v>
      </c>
      <c r="B84" s="128"/>
      <c r="C84" s="2"/>
      <c r="D84" s="2"/>
      <c r="E84" s="2">
        <v>10156548.25</v>
      </c>
      <c r="F84" s="2">
        <v>8858996.9299999997</v>
      </c>
      <c r="G84" s="2">
        <f>317.3+10868571.22</f>
        <v>10868888.520000001</v>
      </c>
      <c r="H84" s="2">
        <f>10199734.22+317.3</f>
        <v>10200051.520000001</v>
      </c>
      <c r="I84" s="2">
        <f>317.3+9400193.22</f>
        <v>9400510.5200000014</v>
      </c>
      <c r="J84" s="2">
        <f>317.3+8729105.22</f>
        <v>8729422.5200000014</v>
      </c>
      <c r="K84" s="2">
        <f>317.3+8959341.22</f>
        <v>8959658.5200000014</v>
      </c>
      <c r="L84" s="2">
        <f>317.3+8959341.22</f>
        <v>8959658.5200000014</v>
      </c>
      <c r="M84" s="2">
        <v>9641398.0299999993</v>
      </c>
      <c r="N84" s="2">
        <v>9641398.0299999993</v>
      </c>
      <c r="O84" s="2">
        <f>9367894.06</f>
        <v>9367894.0600000005</v>
      </c>
      <c r="P84" s="2">
        <f>9367894.06</f>
        <v>9367894.0600000005</v>
      </c>
      <c r="Q84" s="2">
        <f>9367894.06</f>
        <v>9367894.0600000005</v>
      </c>
      <c r="R84" s="2">
        <v>9865070.0600000005</v>
      </c>
      <c r="S84" s="2">
        <v>10331413.810000001</v>
      </c>
      <c r="T84" s="2">
        <v>10331413.810000001</v>
      </c>
      <c r="U84" s="2">
        <v>9319334.8100000005</v>
      </c>
      <c r="V84" s="2">
        <v>9319334.8100000005</v>
      </c>
      <c r="W84" s="2">
        <f>9337671.09</f>
        <v>9337671.0899999999</v>
      </c>
      <c r="X84" s="2">
        <v>9337671.0899999999</v>
      </c>
      <c r="Y84" s="2">
        <v>11178667.26</v>
      </c>
      <c r="Z84" s="2">
        <v>10089361.619999999</v>
      </c>
      <c r="AA84" s="16">
        <f>41557.97+1353152.71</f>
        <v>1394710.68</v>
      </c>
      <c r="AB84" s="16"/>
      <c r="AC84" s="16">
        <f>79834.83+2444326.98</f>
        <v>2524161.81</v>
      </c>
      <c r="AD84" s="16">
        <v>1451371.96</v>
      </c>
      <c r="AE84" s="16">
        <v>497002</v>
      </c>
      <c r="AF84" s="16"/>
      <c r="AG84" s="16">
        <v>495074</v>
      </c>
      <c r="AH84" s="16"/>
      <c r="AI84" s="16"/>
      <c r="AJ84" s="16"/>
      <c r="AK84" s="16"/>
      <c r="AL84" s="16"/>
      <c r="AM84" s="23"/>
      <c r="AN84" s="23"/>
      <c r="AO84" s="23"/>
      <c r="AP84" s="23"/>
      <c r="AQ84" s="23"/>
      <c r="AR84" s="23"/>
      <c r="AS84" s="23"/>
      <c r="AT84" s="23"/>
      <c r="AU84" s="17"/>
      <c r="AV84" s="17"/>
    </row>
    <row r="85" spans="1:48">
      <c r="A85" s="127" t="s">
        <v>14</v>
      </c>
      <c r="B85" s="128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>
        <v>31333.33</v>
      </c>
      <c r="P85" s="2"/>
      <c r="Q85" s="2">
        <v>31999.99</v>
      </c>
      <c r="R85" s="2"/>
      <c r="S85" s="2"/>
      <c r="T85" s="2"/>
      <c r="U85" s="2"/>
      <c r="V85" s="2"/>
      <c r="W85" s="2"/>
      <c r="X85" s="2"/>
      <c r="Y85" s="2">
        <v>134475.21</v>
      </c>
      <c r="Z85" s="2">
        <v>134475.21</v>
      </c>
      <c r="AA85" s="16">
        <v>747720.56</v>
      </c>
      <c r="AB85" s="16">
        <v>747720.56</v>
      </c>
      <c r="AC85" s="16">
        <v>1581975.05</v>
      </c>
      <c r="AD85" s="16">
        <v>1581975.05</v>
      </c>
      <c r="AE85" s="16">
        <v>1823168.82</v>
      </c>
      <c r="AF85" s="16"/>
      <c r="AG85" s="16">
        <v>1823168.82</v>
      </c>
      <c r="AH85" s="16"/>
      <c r="AI85" s="13"/>
      <c r="AJ85" s="13"/>
      <c r="AK85" s="13"/>
      <c r="AL85" s="13"/>
      <c r="AM85" s="13"/>
      <c r="AN85" s="13"/>
      <c r="AO85" s="13"/>
      <c r="AP85" s="13"/>
      <c r="AQ85" s="23"/>
      <c r="AR85" s="23"/>
      <c r="AS85" s="23"/>
      <c r="AT85" s="23"/>
      <c r="AU85" s="17"/>
      <c r="AV85" s="17"/>
    </row>
    <row r="86" spans="1:48" hidden="1">
      <c r="A86" s="139" t="s">
        <v>4</v>
      </c>
      <c r="B86" s="140"/>
      <c r="C86" s="138">
        <v>654159.29</v>
      </c>
      <c r="D86" s="138">
        <f>SUM(D88:D92)</f>
        <v>0</v>
      </c>
      <c r="E86" s="138">
        <f t="shared" ref="E86:Z86" si="24">SUM(E88:E92)</f>
        <v>159427.71</v>
      </c>
      <c r="F86" s="138">
        <f t="shared" si="24"/>
        <v>156150</v>
      </c>
      <c r="G86" s="138">
        <f t="shared" si="24"/>
        <v>166323.26</v>
      </c>
      <c r="H86" s="138">
        <f t="shared" si="24"/>
        <v>156150</v>
      </c>
      <c r="I86" s="138">
        <f t="shared" si="24"/>
        <v>158187.54</v>
      </c>
      <c r="J86" s="138">
        <f t="shared" si="24"/>
        <v>156150</v>
      </c>
      <c r="K86" s="138">
        <f t="shared" si="24"/>
        <v>157389.10999999999</v>
      </c>
      <c r="L86" s="138">
        <f t="shared" si="24"/>
        <v>156150</v>
      </c>
      <c r="M86" s="138">
        <f t="shared" si="24"/>
        <v>162310.56</v>
      </c>
      <c r="N86" s="138">
        <f t="shared" si="24"/>
        <v>156150</v>
      </c>
      <c r="O86" s="138">
        <f t="shared" si="24"/>
        <v>158206.72</v>
      </c>
      <c r="P86" s="138">
        <f t="shared" si="24"/>
        <v>156150</v>
      </c>
      <c r="Q86" s="138">
        <f t="shared" si="24"/>
        <v>162910.32999999999</v>
      </c>
      <c r="R86" s="138">
        <f t="shared" si="24"/>
        <v>156150</v>
      </c>
      <c r="S86" s="138">
        <f t="shared" si="24"/>
        <v>159608.60999999999</v>
      </c>
      <c r="T86" s="138">
        <f t="shared" si="24"/>
        <v>156150</v>
      </c>
      <c r="U86" s="138">
        <f t="shared" si="24"/>
        <v>157986.35</v>
      </c>
      <c r="V86" s="138">
        <f t="shared" si="24"/>
        <v>156150</v>
      </c>
      <c r="W86" s="138">
        <f t="shared" si="24"/>
        <v>159926.9</v>
      </c>
      <c r="X86" s="138">
        <f t="shared" si="24"/>
        <v>156150</v>
      </c>
      <c r="Y86" s="138">
        <f t="shared" si="24"/>
        <v>0</v>
      </c>
      <c r="Z86" s="138">
        <f t="shared" si="24"/>
        <v>0</v>
      </c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152">
        <f>Y86/E86-1</f>
        <v>-1</v>
      </c>
      <c r="AV86" s="152">
        <f>Z86/F86-1</f>
        <v>-1</v>
      </c>
    </row>
    <row r="87" spans="1:48" hidden="1">
      <c r="A87" s="141"/>
      <c r="B87" s="142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153"/>
      <c r="AV87" s="153"/>
    </row>
    <row r="88" spans="1:48" hidden="1">
      <c r="A88" s="127" t="s">
        <v>10</v>
      </c>
      <c r="B88" s="128"/>
      <c r="C88" s="2"/>
      <c r="D88" s="2"/>
      <c r="E88" s="2">
        <v>2936.71</v>
      </c>
      <c r="F88" s="2"/>
      <c r="G88" s="2">
        <v>10173.26</v>
      </c>
      <c r="H88" s="2"/>
      <c r="I88" s="2">
        <v>2037.54</v>
      </c>
      <c r="J88" s="2"/>
      <c r="K88" s="2">
        <v>1239.1099999999999</v>
      </c>
      <c r="L88" s="2"/>
      <c r="M88" s="2">
        <v>6160.56</v>
      </c>
      <c r="N88" s="2"/>
      <c r="O88" s="2">
        <v>2056.7199999999998</v>
      </c>
      <c r="P88" s="2"/>
      <c r="Q88" s="2">
        <v>4968.33</v>
      </c>
      <c r="R88" s="2"/>
      <c r="S88" s="2">
        <v>3458.61</v>
      </c>
      <c r="T88" s="2"/>
      <c r="U88" s="2">
        <v>1836.35</v>
      </c>
      <c r="V88" s="2"/>
      <c r="W88" s="2">
        <v>3776.9</v>
      </c>
      <c r="X88" s="2"/>
      <c r="Y88" s="2"/>
      <c r="Z88" s="2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30"/>
      <c r="AV88" s="30"/>
    </row>
    <row r="89" spans="1:48" hidden="1">
      <c r="A89" s="127" t="s">
        <v>7</v>
      </c>
      <c r="B89" s="128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30"/>
      <c r="AV89" s="30"/>
    </row>
    <row r="90" spans="1:48" hidden="1">
      <c r="A90" s="127" t="s">
        <v>8</v>
      </c>
      <c r="B90" s="128"/>
      <c r="C90" s="2"/>
      <c r="D90" s="2"/>
      <c r="E90" s="2">
        <v>-10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30"/>
      <c r="AV90" s="30"/>
    </row>
    <row r="91" spans="1:48" hidden="1">
      <c r="A91" s="127" t="s">
        <v>9</v>
      </c>
      <c r="B91" s="128"/>
      <c r="C91" s="2"/>
      <c r="D91" s="2"/>
      <c r="E91" s="2">
        <v>351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>
        <v>1792</v>
      </c>
      <c r="R91" s="2"/>
      <c r="S91" s="2"/>
      <c r="T91" s="2"/>
      <c r="U91" s="2"/>
      <c r="V91" s="2"/>
      <c r="W91" s="2"/>
      <c r="X91" s="2"/>
      <c r="Y91" s="2"/>
      <c r="Z91" s="2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30"/>
      <c r="AV91" s="30"/>
    </row>
    <row r="92" spans="1:48" hidden="1">
      <c r="A92" s="127" t="s">
        <v>14</v>
      </c>
      <c r="B92" s="128"/>
      <c r="C92" s="2"/>
      <c r="D92" s="2"/>
      <c r="E92" s="2">
        <v>156150</v>
      </c>
      <c r="F92" s="2">
        <v>156150</v>
      </c>
      <c r="G92" s="2">
        <v>156150</v>
      </c>
      <c r="H92" s="2">
        <v>156150</v>
      </c>
      <c r="I92" s="2">
        <v>156150</v>
      </c>
      <c r="J92" s="2">
        <v>156150</v>
      </c>
      <c r="K92" s="2">
        <v>156150</v>
      </c>
      <c r="L92" s="2">
        <v>156150</v>
      </c>
      <c r="M92" s="2">
        <v>156150</v>
      </c>
      <c r="N92" s="2">
        <v>156150</v>
      </c>
      <c r="O92" s="2">
        <v>156150</v>
      </c>
      <c r="P92" s="2">
        <v>156150</v>
      </c>
      <c r="Q92" s="2">
        <v>156150</v>
      </c>
      <c r="R92" s="2">
        <v>156150</v>
      </c>
      <c r="S92" s="2">
        <v>156150</v>
      </c>
      <c r="T92" s="2">
        <v>156150</v>
      </c>
      <c r="U92" s="2">
        <v>156150</v>
      </c>
      <c r="V92" s="2">
        <v>156150</v>
      </c>
      <c r="W92" s="2">
        <v>156150</v>
      </c>
      <c r="X92" s="2">
        <v>156150</v>
      </c>
      <c r="Y92" s="2">
        <v>0</v>
      </c>
      <c r="Z92" s="2">
        <v>0</v>
      </c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30"/>
      <c r="AV92" s="30"/>
    </row>
    <row r="93" spans="1:48" hidden="1">
      <c r="A93" s="139" t="s">
        <v>15</v>
      </c>
      <c r="B93" s="140"/>
      <c r="C93" s="119">
        <v>10829169.880000001</v>
      </c>
      <c r="D93" s="119">
        <f>1640975.89+2975186.97+988391.8</f>
        <v>5604554.6600000001</v>
      </c>
      <c r="E93" s="119">
        <f>SUM(E95:E99)</f>
        <v>6197764.7700000005</v>
      </c>
      <c r="F93" s="119">
        <f>SUM(F95:F99)</f>
        <v>3749667.49</v>
      </c>
      <c r="G93" s="119">
        <f t="shared" ref="G93:AD93" si="25">SUM(G95:G99)</f>
        <v>6852948.2799999993</v>
      </c>
      <c r="H93" s="119">
        <f t="shared" si="25"/>
        <v>3749667.49</v>
      </c>
      <c r="I93" s="119">
        <f t="shared" si="25"/>
        <v>5929212.6499999994</v>
      </c>
      <c r="J93" s="119">
        <f t="shared" si="25"/>
        <v>2974471.0500000003</v>
      </c>
      <c r="K93" s="119">
        <f t="shared" si="25"/>
        <v>7559967.5599999996</v>
      </c>
      <c r="L93" s="119">
        <f t="shared" si="25"/>
        <v>2974471.0500000003</v>
      </c>
      <c r="M93" s="119">
        <f t="shared" si="25"/>
        <v>6930316.6799999997</v>
      </c>
      <c r="N93" s="119">
        <f t="shared" si="25"/>
        <v>4894294.6399999997</v>
      </c>
      <c r="O93" s="119">
        <f t="shared" si="25"/>
        <v>7219255.4799999995</v>
      </c>
      <c r="P93" s="119">
        <f t="shared" si="25"/>
        <v>4894294.6399999997</v>
      </c>
      <c r="Q93" s="119">
        <f t="shared" si="25"/>
        <v>9600917.8499999996</v>
      </c>
      <c r="R93" s="119">
        <f t="shared" si="25"/>
        <v>4651292.82</v>
      </c>
      <c r="S93" s="119">
        <f t="shared" si="25"/>
        <v>8525632.5199999996</v>
      </c>
      <c r="T93" s="119">
        <f t="shared" si="25"/>
        <v>4005766.16</v>
      </c>
      <c r="U93" s="119">
        <f t="shared" si="25"/>
        <v>10599393.380000001</v>
      </c>
      <c r="V93" s="119">
        <f t="shared" si="25"/>
        <v>1496363.55</v>
      </c>
      <c r="W93" s="119">
        <f t="shared" si="25"/>
        <v>20377243.73</v>
      </c>
      <c r="X93" s="119">
        <f t="shared" si="25"/>
        <v>1496363.55</v>
      </c>
      <c r="Y93" s="119">
        <f t="shared" si="25"/>
        <v>20412653.610000003</v>
      </c>
      <c r="Z93" s="119">
        <f t="shared" si="25"/>
        <v>13308419.82</v>
      </c>
      <c r="AA93" s="131">
        <f t="shared" si="25"/>
        <v>54055934.440000005</v>
      </c>
      <c r="AB93" s="131">
        <f t="shared" si="25"/>
        <v>17697811.539999999</v>
      </c>
      <c r="AC93" s="131">
        <f t="shared" si="25"/>
        <v>61418098.109999999</v>
      </c>
      <c r="AD93" s="131">
        <f t="shared" si="25"/>
        <v>39172056.890000001</v>
      </c>
      <c r="AE93" s="121">
        <f>AE95+AE96+AE97+AE98+AE99</f>
        <v>75253.62</v>
      </c>
      <c r="AF93" s="121">
        <v>0</v>
      </c>
      <c r="AG93" s="121">
        <v>0</v>
      </c>
      <c r="AH93" s="121">
        <v>0</v>
      </c>
      <c r="AI93" s="121">
        <f t="shared" ref="AI93:AP93" si="26">AI95+AI96+AI97+AI98+AI99</f>
        <v>0</v>
      </c>
      <c r="AJ93" s="121">
        <f t="shared" si="26"/>
        <v>0</v>
      </c>
      <c r="AK93" s="121">
        <f t="shared" si="26"/>
        <v>0</v>
      </c>
      <c r="AL93" s="121">
        <f t="shared" si="26"/>
        <v>0</v>
      </c>
      <c r="AM93" s="154">
        <f t="shared" si="26"/>
        <v>0</v>
      </c>
      <c r="AN93" s="154">
        <f t="shared" si="26"/>
        <v>0</v>
      </c>
      <c r="AO93" s="154">
        <f t="shared" si="26"/>
        <v>0</v>
      </c>
      <c r="AP93" s="154">
        <f t="shared" si="26"/>
        <v>0</v>
      </c>
      <c r="AQ93" s="63"/>
      <c r="AR93" s="63"/>
      <c r="AS93" s="63"/>
      <c r="AT93" s="63"/>
      <c r="AU93" s="152" t="e">
        <f>AM93/AI93-1</f>
        <v>#DIV/0!</v>
      </c>
      <c r="AV93" s="152" t="e">
        <f>AO93/AK93-1</f>
        <v>#DIV/0!</v>
      </c>
    </row>
    <row r="94" spans="1:48" hidden="1">
      <c r="A94" s="141"/>
      <c r="B94" s="142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32"/>
      <c r="AB94" s="132"/>
      <c r="AC94" s="132"/>
      <c r="AD94" s="132"/>
      <c r="AE94" s="122"/>
      <c r="AF94" s="122"/>
      <c r="AG94" s="122"/>
      <c r="AH94" s="122"/>
      <c r="AI94" s="122"/>
      <c r="AJ94" s="122"/>
      <c r="AK94" s="122"/>
      <c r="AL94" s="122"/>
      <c r="AM94" s="155"/>
      <c r="AN94" s="155"/>
      <c r="AO94" s="155"/>
      <c r="AP94" s="155"/>
      <c r="AQ94" s="64"/>
      <c r="AR94" s="64"/>
      <c r="AS94" s="64"/>
      <c r="AT94" s="64"/>
      <c r="AU94" s="153"/>
      <c r="AV94" s="153"/>
    </row>
    <row r="95" spans="1:48" hidden="1">
      <c r="A95" s="127" t="s">
        <v>10</v>
      </c>
      <c r="B95" s="128"/>
      <c r="C95" s="1"/>
      <c r="D95" s="1"/>
      <c r="E95" s="1">
        <v>6195284.0800000001</v>
      </c>
      <c r="F95" s="1">
        <f>3363056.56+386610.93</f>
        <v>3749667.49</v>
      </c>
      <c r="G95" s="1">
        <f>2263909.36+4559378.25</f>
        <v>6823287.6099999994</v>
      </c>
      <c r="H95" s="1">
        <f>386610.93+3363056.56</f>
        <v>3749667.49</v>
      </c>
      <c r="I95" s="1">
        <f>1799893.76+4099496.79</f>
        <v>5899390.5499999998</v>
      </c>
      <c r="J95" s="1">
        <f>386610.93+2587860.12</f>
        <v>2974471.0500000003</v>
      </c>
      <c r="K95" s="1">
        <f>5416106.16+2141154.26+1386.18+1320.96</f>
        <v>7559967.5599999996</v>
      </c>
      <c r="L95" s="1">
        <f>2587860.12+386610.93</f>
        <v>2974471.0500000003</v>
      </c>
      <c r="M95" s="1">
        <v>6930316.6799999997</v>
      </c>
      <c r="N95" s="1">
        <v>4894294.6399999997</v>
      </c>
      <c r="O95" s="1">
        <f>1865798.47+5348998.75</f>
        <v>7214797.2199999997</v>
      </c>
      <c r="P95" s="1">
        <f>386610.93+4507683.71</f>
        <v>4894294.6399999997</v>
      </c>
      <c r="Q95" s="1">
        <v>9600917.8499999996</v>
      </c>
      <c r="R95" s="1">
        <v>4651292.82</v>
      </c>
      <c r="S95" s="1">
        <f>2951333.92+5555295.68+15251.76+3751.16</f>
        <v>8525632.5199999996</v>
      </c>
      <c r="T95" s="1">
        <f>3619155.23+386610.93</f>
        <v>4005766.16</v>
      </c>
      <c r="U95" s="1">
        <f>1992205.58+8591549.02+5323.15+10315.63</f>
        <v>10599393.380000001</v>
      </c>
      <c r="V95" s="1">
        <f>1109752.62+386610.93</f>
        <v>1496363.55</v>
      </c>
      <c r="W95" s="1">
        <f>10545735.23+9823125.67+3422.46+4960.37</f>
        <v>20377243.73</v>
      </c>
      <c r="X95" s="1">
        <f>386610.93+1109752.62</f>
        <v>1496363.55</v>
      </c>
      <c r="Y95" s="1">
        <v>20441640.960000001</v>
      </c>
      <c r="Z95" s="1">
        <v>13308419.82</v>
      </c>
      <c r="AA95" s="19">
        <f>33166250.55+116.03+20185020.65+10333.24-153588.27</f>
        <v>53208132.200000003</v>
      </c>
      <c r="AB95" s="19">
        <f>17535000.48+162811.06-153588.27</f>
        <v>17544223.27</v>
      </c>
      <c r="AC95" s="19">
        <f>44014737.97+19482.3+16465957.71</f>
        <v>60500177.979999997</v>
      </c>
      <c r="AD95" s="19">
        <f>29503554.98+9668501.91</f>
        <v>39172056.890000001</v>
      </c>
      <c r="AE95" s="19">
        <v>75253.62</v>
      </c>
      <c r="AF95" s="19">
        <v>0</v>
      </c>
      <c r="AG95" s="19">
        <v>0</v>
      </c>
      <c r="AH95" s="19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34"/>
      <c r="AV95" s="34"/>
    </row>
    <row r="96" spans="1:48" hidden="1">
      <c r="A96" s="127" t="s">
        <v>7</v>
      </c>
      <c r="B96" s="128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9">
        <f>174701.03+239873.77</f>
        <v>414574.8</v>
      </c>
      <c r="AB96" s="19"/>
      <c r="AC96" s="19">
        <f>340113.75+6309.58+298211.41</f>
        <v>644634.74</v>
      </c>
      <c r="AD96" s="19"/>
      <c r="AE96" s="19"/>
      <c r="AF96" s="19"/>
      <c r="AG96" s="19"/>
      <c r="AH96" s="19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34"/>
      <c r="AV96" s="34"/>
    </row>
    <row r="97" spans="1:49" hidden="1">
      <c r="A97" s="127" t="s">
        <v>8</v>
      </c>
      <c r="B97" s="128"/>
      <c r="C97" s="1"/>
      <c r="D97" s="1"/>
      <c r="E97" s="1"/>
      <c r="F97" s="1"/>
      <c r="G97" s="1">
        <v>-0.01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9">
        <v>150004.17000000001</v>
      </c>
      <c r="AB97" s="19"/>
      <c r="AC97" s="19">
        <f>218911.42+53273.97</f>
        <v>272185.39</v>
      </c>
      <c r="AD97" s="19"/>
      <c r="AE97" s="19"/>
      <c r="AF97" s="19"/>
      <c r="AG97" s="19"/>
      <c r="AH97" s="19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34"/>
      <c r="AV97" s="34"/>
    </row>
    <row r="98" spans="1:49" hidden="1">
      <c r="A98" s="127" t="s">
        <v>9</v>
      </c>
      <c r="B98" s="128"/>
      <c r="C98" s="1"/>
      <c r="D98" s="1"/>
      <c r="E98" s="1"/>
      <c r="F98" s="1"/>
      <c r="G98" s="1">
        <v>-67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>
        <v>-94199.79</v>
      </c>
      <c r="Z98" s="1"/>
      <c r="AA98" s="19">
        <f>129635</f>
        <v>129635</v>
      </c>
      <c r="AB98" s="19"/>
      <c r="AC98" s="19"/>
      <c r="AD98" s="19"/>
      <c r="AE98" s="19"/>
      <c r="AF98" s="19"/>
      <c r="AG98" s="19"/>
      <c r="AH98" s="19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34"/>
      <c r="AV98" s="34"/>
    </row>
    <row r="99" spans="1:49" hidden="1">
      <c r="A99" s="127" t="s">
        <v>14</v>
      </c>
      <c r="B99" s="128"/>
      <c r="C99" s="1"/>
      <c r="D99" s="1"/>
      <c r="E99" s="1">
        <v>2480.69</v>
      </c>
      <c r="F99" s="1"/>
      <c r="G99" s="1">
        <f>10138.57+19589.11</f>
        <v>29727.68</v>
      </c>
      <c r="H99" s="1"/>
      <c r="I99" s="1">
        <f>14183.88+15638.22</f>
        <v>29822.1</v>
      </c>
      <c r="J99" s="1"/>
      <c r="K99" s="1"/>
      <c r="L99" s="1"/>
      <c r="M99" s="1"/>
      <c r="N99" s="1"/>
      <c r="O99" s="1">
        <v>4458.26</v>
      </c>
      <c r="P99" s="1"/>
      <c r="Q99" s="1"/>
      <c r="R99" s="1"/>
      <c r="S99" s="1"/>
      <c r="T99" s="1"/>
      <c r="U99" s="1"/>
      <c r="V99" s="1"/>
      <c r="W99" s="1"/>
      <c r="X99" s="1"/>
      <c r="Y99" s="1">
        <v>65212.44</v>
      </c>
      <c r="Z99" s="1"/>
      <c r="AA99" s="19">
        <v>153588.26999999999</v>
      </c>
      <c r="AB99" s="19">
        <v>153588.26999999999</v>
      </c>
      <c r="AC99" s="19">
        <v>1100</v>
      </c>
      <c r="AD99" s="19"/>
      <c r="AE99" s="19"/>
      <c r="AF99" s="19"/>
      <c r="AG99" s="19"/>
      <c r="AH99" s="19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34"/>
      <c r="AV99" s="34"/>
    </row>
    <row r="100" spans="1:49">
      <c r="A100" s="139" t="s">
        <v>13</v>
      </c>
      <c r="B100" s="140"/>
      <c r="C100" s="138">
        <v>-1470.89</v>
      </c>
      <c r="D100" s="138">
        <f>SUM(D102:D106)</f>
        <v>0</v>
      </c>
      <c r="E100" s="138">
        <f t="shared" ref="E100:AB100" si="27">SUM(E102:E106)</f>
        <v>741.25</v>
      </c>
      <c r="F100" s="138">
        <f t="shared" si="27"/>
        <v>0</v>
      </c>
      <c r="G100" s="138">
        <f t="shared" si="27"/>
        <v>0</v>
      </c>
      <c r="H100" s="138">
        <f t="shared" si="27"/>
        <v>0</v>
      </c>
      <c r="I100" s="138">
        <f t="shared" si="27"/>
        <v>0</v>
      </c>
      <c r="J100" s="138">
        <f t="shared" si="27"/>
        <v>0</v>
      </c>
      <c r="K100" s="138">
        <f t="shared" si="27"/>
        <v>0</v>
      </c>
      <c r="L100" s="138">
        <f t="shared" si="27"/>
        <v>0</v>
      </c>
      <c r="M100" s="138">
        <f t="shared" si="27"/>
        <v>0</v>
      </c>
      <c r="N100" s="138">
        <f t="shared" si="27"/>
        <v>0</v>
      </c>
      <c r="O100" s="138">
        <f t="shared" si="27"/>
        <v>0</v>
      </c>
      <c r="P100" s="138">
        <f t="shared" si="27"/>
        <v>0</v>
      </c>
      <c r="Q100" s="138">
        <f t="shared" si="27"/>
        <v>0</v>
      </c>
      <c r="R100" s="138">
        <f t="shared" si="27"/>
        <v>0</v>
      </c>
      <c r="S100" s="138">
        <f t="shared" si="27"/>
        <v>0</v>
      </c>
      <c r="T100" s="138">
        <f t="shared" si="27"/>
        <v>0</v>
      </c>
      <c r="U100" s="138">
        <f t="shared" si="27"/>
        <v>0</v>
      </c>
      <c r="V100" s="138">
        <f t="shared" si="27"/>
        <v>0</v>
      </c>
      <c r="W100" s="138">
        <f t="shared" si="27"/>
        <v>0</v>
      </c>
      <c r="X100" s="138">
        <f t="shared" si="27"/>
        <v>0</v>
      </c>
      <c r="Y100" s="138">
        <f t="shared" si="27"/>
        <v>0</v>
      </c>
      <c r="Z100" s="138">
        <f t="shared" si="27"/>
        <v>0</v>
      </c>
      <c r="AA100" s="145">
        <f>AA102+AA103+AA104+AA105+AA106</f>
        <v>84248.31</v>
      </c>
      <c r="AB100" s="145">
        <f t="shared" si="27"/>
        <v>0</v>
      </c>
      <c r="AC100" s="145">
        <f>SUM(AC102:AC106)</f>
        <v>130082.92000000001</v>
      </c>
      <c r="AD100" s="145">
        <f>SUM(AD102:AD106)</f>
        <v>0</v>
      </c>
      <c r="AE100" s="125">
        <f t="shared" ref="AE100:AT100" si="28">AE102+AE103+AE104+AE105+AE106</f>
        <v>45365.68</v>
      </c>
      <c r="AF100" s="125">
        <f t="shared" si="28"/>
        <v>0</v>
      </c>
      <c r="AG100" s="125">
        <v>0</v>
      </c>
      <c r="AH100" s="125">
        <f t="shared" si="28"/>
        <v>0</v>
      </c>
      <c r="AI100" s="125">
        <f t="shared" si="28"/>
        <v>0</v>
      </c>
      <c r="AJ100" s="125">
        <f t="shared" si="28"/>
        <v>0</v>
      </c>
      <c r="AK100" s="125">
        <f t="shared" si="28"/>
        <v>0</v>
      </c>
      <c r="AL100" s="125">
        <f t="shared" si="28"/>
        <v>0</v>
      </c>
      <c r="AM100" s="125">
        <f t="shared" si="28"/>
        <v>0</v>
      </c>
      <c r="AN100" s="125">
        <f t="shared" si="28"/>
        <v>0</v>
      </c>
      <c r="AO100" s="125">
        <f t="shared" si="28"/>
        <v>0</v>
      </c>
      <c r="AP100" s="125">
        <f t="shared" si="28"/>
        <v>0</v>
      </c>
      <c r="AQ100" s="150">
        <f t="shared" si="28"/>
        <v>89583.07</v>
      </c>
      <c r="AR100" s="150">
        <f t="shared" si="28"/>
        <v>0</v>
      </c>
      <c r="AS100" s="150">
        <f t="shared" si="28"/>
        <v>0</v>
      </c>
      <c r="AT100" s="150">
        <f t="shared" si="28"/>
        <v>0</v>
      </c>
      <c r="AU100" s="143" t="e">
        <f>AQ100/AM100-1</f>
        <v>#DIV/0!</v>
      </c>
      <c r="AV100" s="143" t="e">
        <f>AS100/AO100-1</f>
        <v>#DIV/0!</v>
      </c>
    </row>
    <row r="101" spans="1:49">
      <c r="A101" s="141"/>
      <c r="B101" s="142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32"/>
      <c r="AB101" s="132"/>
      <c r="AC101" s="158"/>
      <c r="AD101" s="132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51"/>
      <c r="AR101" s="151"/>
      <c r="AS101" s="151"/>
      <c r="AT101" s="151"/>
      <c r="AU101" s="144"/>
      <c r="AV101" s="144"/>
    </row>
    <row r="102" spans="1:49" ht="43.2" customHeight="1">
      <c r="A102" s="127" t="s">
        <v>10</v>
      </c>
      <c r="B102" s="128"/>
      <c r="C102" s="2"/>
      <c r="D102" s="2"/>
      <c r="E102" s="2">
        <v>741.25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16"/>
      <c r="AB102" s="16"/>
      <c r="AC102" s="16">
        <v>5034.4399999999996</v>
      </c>
      <c r="AD102" s="13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23"/>
      <c r="AR102" s="23"/>
      <c r="AS102" s="23"/>
      <c r="AT102" s="23"/>
      <c r="AU102" s="17"/>
      <c r="AV102" s="17"/>
    </row>
    <row r="103" spans="1:49">
      <c r="A103" s="127" t="s">
        <v>7</v>
      </c>
      <c r="B103" s="128"/>
      <c r="C103" s="2"/>
      <c r="D103" s="2"/>
      <c r="E103" s="2">
        <v>0</v>
      </c>
      <c r="F103" s="2">
        <v>0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16">
        <v>53091.66</v>
      </c>
      <c r="AB103" s="16"/>
      <c r="AC103" s="16">
        <v>81730</v>
      </c>
      <c r="AD103" s="13"/>
      <c r="AE103" s="16">
        <v>28290.47</v>
      </c>
      <c r="AF103" s="16"/>
      <c r="AG103" s="16"/>
      <c r="AH103" s="16"/>
      <c r="AI103" s="13"/>
      <c r="AJ103" s="13"/>
      <c r="AK103" s="13"/>
      <c r="AL103" s="13"/>
      <c r="AM103" s="16"/>
      <c r="AN103" s="16"/>
      <c r="AO103" s="16"/>
      <c r="AP103" s="16"/>
      <c r="AQ103" s="23">
        <v>60917.86</v>
      </c>
      <c r="AR103" s="23"/>
      <c r="AS103" s="23"/>
      <c r="AT103" s="23"/>
      <c r="AU103" s="17"/>
      <c r="AV103" s="17"/>
    </row>
    <row r="104" spans="1:49" ht="31.2" customHeight="1">
      <c r="A104" s="127" t="s">
        <v>8</v>
      </c>
      <c r="B104" s="128"/>
      <c r="C104" s="2"/>
      <c r="D104" s="2"/>
      <c r="E104" s="2">
        <v>0</v>
      </c>
      <c r="F104" s="2">
        <v>0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16">
        <v>31156.65</v>
      </c>
      <c r="AB104" s="16"/>
      <c r="AC104" s="16">
        <v>43318.48</v>
      </c>
      <c r="AD104" s="13"/>
      <c r="AE104" s="16">
        <v>17075.21</v>
      </c>
      <c r="AF104" s="16"/>
      <c r="AG104" s="16"/>
      <c r="AH104" s="16"/>
      <c r="AI104" s="13"/>
      <c r="AJ104" s="13"/>
      <c r="AK104" s="13"/>
      <c r="AL104" s="13"/>
      <c r="AM104" s="16"/>
      <c r="AN104" s="16"/>
      <c r="AO104" s="16"/>
      <c r="AP104" s="16"/>
      <c r="AQ104" s="23">
        <v>28665.21</v>
      </c>
      <c r="AR104" s="23"/>
      <c r="AS104" s="23"/>
      <c r="AT104" s="23"/>
      <c r="AU104" s="17"/>
      <c r="AV104" s="17"/>
    </row>
    <row r="105" spans="1:49">
      <c r="A105" s="127" t="s">
        <v>9</v>
      </c>
      <c r="B105" s="128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16"/>
      <c r="AB105" s="23"/>
      <c r="AC105" s="13"/>
      <c r="AD105" s="13"/>
      <c r="AE105" s="16"/>
      <c r="AF105" s="16"/>
      <c r="AG105" s="16"/>
      <c r="AH105" s="16"/>
      <c r="AI105" s="13"/>
      <c r="AJ105" s="13"/>
      <c r="AK105" s="13"/>
      <c r="AL105" s="13"/>
      <c r="AM105" s="16"/>
      <c r="AN105" s="16"/>
      <c r="AO105" s="16"/>
      <c r="AP105" s="16"/>
      <c r="AQ105" s="23"/>
      <c r="AR105" s="23"/>
      <c r="AS105" s="23"/>
      <c r="AT105" s="23"/>
      <c r="AU105" s="17"/>
      <c r="AV105" s="17"/>
    </row>
    <row r="106" spans="1:49">
      <c r="A106" s="127" t="s">
        <v>14</v>
      </c>
      <c r="B106" s="128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30"/>
      <c r="AV106" s="30"/>
    </row>
    <row r="107" spans="1:49" ht="57.6" hidden="1">
      <c r="A107" s="7" t="s">
        <v>22</v>
      </c>
      <c r="B107" s="7"/>
      <c r="C107" s="9">
        <v>3090165.46</v>
      </c>
      <c r="D107" s="9">
        <v>3090165.46</v>
      </c>
      <c r="E107" s="9">
        <f>SUM(E108:E110)</f>
        <v>0</v>
      </c>
      <c r="F107" s="9">
        <f>SUM(F108:F110)</f>
        <v>0</v>
      </c>
      <c r="G107" s="9">
        <f t="shared" ref="G107:Z107" si="29">SUM(G108:G110)</f>
        <v>0</v>
      </c>
      <c r="H107" s="9">
        <f t="shared" si="29"/>
        <v>0</v>
      </c>
      <c r="I107" s="9">
        <f t="shared" si="29"/>
        <v>0</v>
      </c>
      <c r="J107" s="9">
        <f t="shared" si="29"/>
        <v>0</v>
      </c>
      <c r="K107" s="9">
        <f t="shared" si="29"/>
        <v>0</v>
      </c>
      <c r="L107" s="9">
        <f t="shared" si="29"/>
        <v>0</v>
      </c>
      <c r="M107" s="9">
        <f t="shared" si="29"/>
        <v>0</v>
      </c>
      <c r="N107" s="9">
        <f t="shared" si="29"/>
        <v>0</v>
      </c>
      <c r="O107" s="9">
        <f t="shared" si="29"/>
        <v>0</v>
      </c>
      <c r="P107" s="9">
        <f t="shared" si="29"/>
        <v>0</v>
      </c>
      <c r="Q107" s="9">
        <f t="shared" si="29"/>
        <v>0</v>
      </c>
      <c r="R107" s="9">
        <f t="shared" si="29"/>
        <v>0</v>
      </c>
      <c r="S107" s="9">
        <f t="shared" si="29"/>
        <v>0</v>
      </c>
      <c r="T107" s="9">
        <f t="shared" si="29"/>
        <v>0</v>
      </c>
      <c r="U107" s="9">
        <f t="shared" si="29"/>
        <v>0</v>
      </c>
      <c r="V107" s="9">
        <f t="shared" si="29"/>
        <v>0</v>
      </c>
      <c r="W107" s="9">
        <f t="shared" si="29"/>
        <v>0</v>
      </c>
      <c r="X107" s="9">
        <f t="shared" si="29"/>
        <v>0</v>
      </c>
      <c r="Y107" s="9">
        <f t="shared" si="29"/>
        <v>0</v>
      </c>
      <c r="Z107" s="9">
        <f t="shared" si="29"/>
        <v>0</v>
      </c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152">
        <v>0</v>
      </c>
      <c r="AV107" s="152">
        <v>0</v>
      </c>
    </row>
    <row r="108" spans="1:49" hidden="1">
      <c r="A108" s="127" t="s">
        <v>9</v>
      </c>
      <c r="B108" s="156"/>
      <c r="C108" s="2"/>
      <c r="D108" s="2"/>
      <c r="E108" s="2"/>
      <c r="F108" s="2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13"/>
      <c r="AB108" s="13"/>
      <c r="AC108" s="13"/>
      <c r="AD108" s="13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153"/>
      <c r="AV108" s="153"/>
    </row>
    <row r="109" spans="1:49" hidden="1">
      <c r="A109" s="157" t="s">
        <v>21</v>
      </c>
      <c r="B109" s="156"/>
      <c r="C109" s="9">
        <f>4008760.53+5844431.63+14283.75+179317.37</f>
        <v>10046793.279999999</v>
      </c>
      <c r="D109" s="9">
        <f>989699.04+1910943.77</f>
        <v>2900642.81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31"/>
      <c r="AV109" s="31"/>
    </row>
    <row r="110" spans="1:49" hidden="1">
      <c r="A110" s="8"/>
      <c r="B110" s="8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30"/>
      <c r="AV110" s="30"/>
    </row>
    <row r="111" spans="1:49">
      <c r="A111" s="157" t="s">
        <v>11</v>
      </c>
      <c r="B111" s="156"/>
      <c r="C111" s="10">
        <f>C8+C51+C58+C65+C72+C79+C86+C93+C100+C107+C109</f>
        <v>94587677.819999993</v>
      </c>
      <c r="D111" s="10">
        <f>D8+D51+D58+D65+D72+D79+D86+D93+D100+D107+D109</f>
        <v>68008770.719999999</v>
      </c>
      <c r="E111" s="10">
        <f t="shared" ref="E111:AD111" si="30">E8+E51+E58+E65+E72+E79+E86+E93+E100+E107</f>
        <v>85864729.75999999</v>
      </c>
      <c r="F111" s="10">
        <f t="shared" si="30"/>
        <v>66510808.209999993</v>
      </c>
      <c r="G111" s="10">
        <f t="shared" si="30"/>
        <v>93511066.090000018</v>
      </c>
      <c r="H111" s="10">
        <f t="shared" si="30"/>
        <v>66963948.660000004</v>
      </c>
      <c r="I111" s="10">
        <f t="shared" si="30"/>
        <v>92440148.88000001</v>
      </c>
      <c r="J111" s="10">
        <f t="shared" si="30"/>
        <v>69371696.100000009</v>
      </c>
      <c r="K111" s="10">
        <f t="shared" si="30"/>
        <v>93692017.959999993</v>
      </c>
      <c r="L111" s="10">
        <f t="shared" si="30"/>
        <v>72494645.030000001</v>
      </c>
      <c r="M111" s="10">
        <f t="shared" si="30"/>
        <v>95350288.340000004</v>
      </c>
      <c r="N111" s="10">
        <f t="shared" si="30"/>
        <v>74699098.340000004</v>
      </c>
      <c r="O111" s="10">
        <f t="shared" si="30"/>
        <v>92952938.269999996</v>
      </c>
      <c r="P111" s="10">
        <f t="shared" si="30"/>
        <v>82357876.220000014</v>
      </c>
      <c r="Q111" s="10">
        <f t="shared" si="30"/>
        <v>97449531.209999979</v>
      </c>
      <c r="R111" s="10">
        <f t="shared" si="30"/>
        <v>74441297.569999993</v>
      </c>
      <c r="S111" s="10">
        <f t="shared" si="30"/>
        <v>96755275.489999995</v>
      </c>
      <c r="T111" s="10">
        <f t="shared" si="30"/>
        <v>74719949.890000001</v>
      </c>
      <c r="U111" s="10">
        <f t="shared" si="30"/>
        <v>97352731.719999984</v>
      </c>
      <c r="V111" s="10">
        <f t="shared" si="30"/>
        <v>74918061.669999987</v>
      </c>
      <c r="W111" s="10">
        <f t="shared" si="30"/>
        <v>103431682.53</v>
      </c>
      <c r="X111" s="10">
        <f t="shared" si="30"/>
        <v>71550048.36999999</v>
      </c>
      <c r="Y111" s="10">
        <f t="shared" si="30"/>
        <v>139512827.16999999</v>
      </c>
      <c r="Z111" s="10">
        <f t="shared" si="30"/>
        <v>116277638.82999998</v>
      </c>
      <c r="AA111" s="20">
        <f t="shared" si="30"/>
        <v>136792938.08000001</v>
      </c>
      <c r="AB111" s="20">
        <f t="shared" si="30"/>
        <v>43344897.469999999</v>
      </c>
      <c r="AC111" s="20">
        <f t="shared" si="30"/>
        <v>211086618.58000001</v>
      </c>
      <c r="AD111" s="20">
        <f t="shared" si="30"/>
        <v>119975047.31999999</v>
      </c>
      <c r="AE111" s="20">
        <f t="shared" ref="AE111:AH111" si="31">AE8+AE51+AE58+AE65+AE72+AE79+AE93+AE100</f>
        <v>128946217.90000001</v>
      </c>
      <c r="AF111" s="20">
        <f t="shared" si="31"/>
        <v>32163242.649999999</v>
      </c>
      <c r="AG111" s="20">
        <f t="shared" si="31"/>
        <v>14429840.109999999</v>
      </c>
      <c r="AH111" s="20">
        <f t="shared" si="31"/>
        <v>0</v>
      </c>
      <c r="AI111" s="62">
        <f>AI8+AI51+AI58+AI65+AI72+AI79+AI93+AI100+AI21+AI27+AI33</f>
        <v>110206071.34</v>
      </c>
      <c r="AJ111" s="62">
        <f>AJ8+AJ51+AJ58+AJ65+AJ72+AJ79+AJ93+AJ100+AJ21+AJ27+AJ33</f>
        <v>26197666.589999996</v>
      </c>
      <c r="AK111" s="62">
        <f>AK8+AK51+AK58+AK65+AK72+AK79+AK93+AK100+AK21+AK27+AK33</f>
        <v>952355</v>
      </c>
      <c r="AL111" s="62">
        <f>AL8+AL51+AL58+AL65+AL72+AL79+AL93+AL100+AL21+AL27+AL33</f>
        <v>571235</v>
      </c>
      <c r="AM111" s="62">
        <f>AM8+AM51+AM58+AM65+AM72+AM79+AM93+AM100+AM21+AM27+AM33+AM39</f>
        <v>80776546.540000007</v>
      </c>
      <c r="AN111" s="62">
        <f>AN8+AN51+AN58+AN65+AN72+AN79+AN93+AN100+AN21+AN27+AN33+AN39+AN15</f>
        <v>35099528.390000001</v>
      </c>
      <c r="AO111" s="62">
        <f>AO8+AO51+AO58+AO65+AO72+AO79+AO93+AO100+AO21+AO27+AO33+AO15+AO39</f>
        <v>0</v>
      </c>
      <c r="AP111" s="62">
        <f>AP8+AP51+AP58+AP65+AP72+AP79+AP93+AP100+AP21+AP27+AP33+AP15+AP39</f>
        <v>0</v>
      </c>
      <c r="AQ111" s="65">
        <f>AQ8+AQ51+AQ58+AQ65+AQ72+AQ79+AQ93+AQ100+AQ21+AQ27+AQ33+AQ39</f>
        <v>115994341.81</v>
      </c>
      <c r="AR111" s="65">
        <f>AR8+AR51+AR58+AR65+AR72+AR79+AR93+AR100+AR21+AR27+AR33+AR39</f>
        <v>46721002.879999995</v>
      </c>
      <c r="AS111" s="65">
        <f>AS8+AS51+AS58+AS65+AS72+AS79+AS93+AS100+AS21+AS27+AS33+AS15+AS39</f>
        <v>7551208.0300000003</v>
      </c>
      <c r="AT111" s="65">
        <f>AT8+AT51+AT58+AT65+AT72+AT79+AT93+AT100+AT21+AT27+AT33+AT15+AT39</f>
        <v>7551208.0300000003</v>
      </c>
      <c r="AU111" s="58">
        <f>AQ111/AM111-1</f>
        <v>0.4359903558461784</v>
      </c>
      <c r="AV111" s="58" t="e">
        <f>AS111/AO111-1</f>
        <v>#DIV/0!</v>
      </c>
      <c r="AW111" s="44"/>
    </row>
    <row r="112" spans="1:49" ht="43.2" customHeight="1">
      <c r="A112" s="127" t="s">
        <v>10</v>
      </c>
      <c r="B112" s="156"/>
      <c r="C112" s="2">
        <f t="shared" ref="C112:AD116" si="32">C10+C53+C60+C67+C74+C81+C88+C95+C102</f>
        <v>0</v>
      </c>
      <c r="D112" s="2">
        <f t="shared" si="32"/>
        <v>0</v>
      </c>
      <c r="E112" s="2">
        <f t="shared" si="32"/>
        <v>17953226.410000004</v>
      </c>
      <c r="F112" s="2">
        <f t="shared" si="32"/>
        <v>6382951.8399999943</v>
      </c>
      <c r="G112" s="2">
        <f t="shared" si="32"/>
        <v>19216097.170000002</v>
      </c>
      <c r="H112" s="2">
        <f t="shared" si="32"/>
        <v>6555841.7200000007</v>
      </c>
      <c r="I112" s="2">
        <f t="shared" si="32"/>
        <v>22865503.460000001</v>
      </c>
      <c r="J112" s="2">
        <f t="shared" si="32"/>
        <v>5864947.9199999999</v>
      </c>
      <c r="K112" s="2">
        <f t="shared" si="32"/>
        <v>17090632.079999998</v>
      </c>
      <c r="L112" s="2">
        <f t="shared" si="32"/>
        <v>5837825.0099999998</v>
      </c>
      <c r="M112" s="2">
        <f t="shared" si="32"/>
        <v>16099291.18</v>
      </c>
      <c r="N112" s="2">
        <f t="shared" si="32"/>
        <v>7784857.7199999997</v>
      </c>
      <c r="O112" s="2">
        <f t="shared" si="32"/>
        <v>16094244.300000001</v>
      </c>
      <c r="P112" s="2">
        <f t="shared" si="32"/>
        <v>7902977.2199999997</v>
      </c>
      <c r="Q112" s="2">
        <f t="shared" si="32"/>
        <v>20791692.359999999</v>
      </c>
      <c r="R112" s="2">
        <f t="shared" si="32"/>
        <v>7175180.9199999999</v>
      </c>
      <c r="S112" s="2">
        <f t="shared" si="32"/>
        <v>20070445.379999999</v>
      </c>
      <c r="T112" s="2">
        <f t="shared" si="32"/>
        <v>6987489.4900000002</v>
      </c>
      <c r="U112" s="2">
        <f t="shared" si="32"/>
        <v>24410984.270000003</v>
      </c>
      <c r="V112" s="2">
        <f t="shared" si="32"/>
        <v>4182653.4699999997</v>
      </c>
      <c r="W112" s="2">
        <f t="shared" si="32"/>
        <v>34358661.780000001</v>
      </c>
      <c r="X112" s="2">
        <f t="shared" si="32"/>
        <v>4756662.17</v>
      </c>
      <c r="Y112" s="2">
        <f t="shared" si="32"/>
        <v>37550191.880000003</v>
      </c>
      <c r="Z112" s="2">
        <f t="shared" si="32"/>
        <v>19969076.690000001</v>
      </c>
      <c r="AA112" s="16">
        <f t="shared" si="32"/>
        <v>78679277.219999999</v>
      </c>
      <c r="AB112" s="16">
        <f t="shared" si="32"/>
        <v>28544503.479999997</v>
      </c>
      <c r="AC112" s="16">
        <f t="shared" si="32"/>
        <v>97897786.019999981</v>
      </c>
      <c r="AD112" s="16">
        <f t="shared" si="32"/>
        <v>50095879.390000001</v>
      </c>
      <c r="AE112" s="16">
        <f t="shared" ref="AE112:AH116" si="33">AE10+AE53+AE60+AE67+AE74+AE81+AE95+AE102</f>
        <v>59026929.369999997</v>
      </c>
      <c r="AF112" s="16">
        <f t="shared" si="33"/>
        <v>219982.55</v>
      </c>
      <c r="AG112" s="16">
        <f t="shared" si="33"/>
        <v>3777110.1399999997</v>
      </c>
      <c r="AH112" s="16">
        <f t="shared" si="33"/>
        <v>0</v>
      </c>
      <c r="AI112" s="16">
        <f t="shared" ref="AI112:AL116" si="34">AI10+AI53+AI60+AI67+AI74+AI81+AI95+AI102+AI22+AI28+AI34</f>
        <v>48091910.589999996</v>
      </c>
      <c r="AJ112" s="16">
        <f t="shared" si="34"/>
        <v>121925.19</v>
      </c>
      <c r="AK112" s="16">
        <f t="shared" si="34"/>
        <v>571235</v>
      </c>
      <c r="AL112" s="16">
        <f t="shared" si="34"/>
        <v>571235</v>
      </c>
      <c r="AM112" s="16">
        <f>AM10+AM22+AM28+AM34+AM46+AM53+AM60+AM67+AM74+AM81+AM95+AM102+AM40+AM16</f>
        <v>38238020.859999992</v>
      </c>
      <c r="AN112" s="16">
        <f>AN10+AN22+AN28+AN34+AN46+AN53+AN60+AN67+AN74+AN81+AN95+AN102+AN16+AN40</f>
        <v>7778804.1399999997</v>
      </c>
      <c r="AO112" s="16">
        <f>AO10+AO22+AO28+AO34+AO46+AO53+AO60+AO67+AO74+AO81+AO95+AO102+AO16+AO40</f>
        <v>0</v>
      </c>
      <c r="AP112" s="16">
        <f>AP10+AP22+AP28+AP34+AP46+AP53+AP60+AP67+AP74+AP81+AP95+AP102+AP16+AP40</f>
        <v>0</v>
      </c>
      <c r="AQ112" s="23">
        <f>AQ10+AQ22+AQ28+AQ34+AQ46+AQ53+AQ60+AQ67+AQ74+AQ81+AQ95+AQ102+AQ40+AQ16</f>
        <v>51344005.409999996</v>
      </c>
      <c r="AR112" s="23">
        <f>AR10+AR22+AR28+AR34+AR46+AR53+AR60+AR67+AR74+AR81+AR95+AR102+AR16+AR40</f>
        <v>8331552.9299999997</v>
      </c>
      <c r="AS112" s="23">
        <f>AS10+AS22+AS28+AS34+AS46+AS53+AS60+AS67+AS74+AS81+AS95+AS102+AS16+AS40</f>
        <v>7551208.0300000003</v>
      </c>
      <c r="AT112" s="23">
        <f>AT10+AT22+AT28+AT34+AT46+AT53+AT60+AT67+AT74+AT81+AT95+AT102+AT16+AT40</f>
        <v>7551208.0300000003</v>
      </c>
      <c r="AU112" s="58"/>
      <c r="AV112" s="58"/>
      <c r="AW112" s="44"/>
    </row>
    <row r="113" spans="1:49">
      <c r="A113" s="127" t="s">
        <v>7</v>
      </c>
      <c r="B113" s="156"/>
      <c r="C113" s="2">
        <f t="shared" si="32"/>
        <v>0</v>
      </c>
      <c r="D113" s="2">
        <f t="shared" si="32"/>
        <v>0</v>
      </c>
      <c r="E113" s="2">
        <f t="shared" si="32"/>
        <v>0</v>
      </c>
      <c r="F113" s="2">
        <f t="shared" si="32"/>
        <v>0</v>
      </c>
      <c r="G113" s="2">
        <f t="shared" si="32"/>
        <v>1611249.67</v>
      </c>
      <c r="H113" s="2">
        <f t="shared" si="32"/>
        <v>0</v>
      </c>
      <c r="I113" s="2">
        <f t="shared" si="32"/>
        <v>1404831.87</v>
      </c>
      <c r="J113" s="2">
        <f t="shared" si="32"/>
        <v>0</v>
      </c>
      <c r="K113" s="2">
        <f t="shared" si="32"/>
        <v>2089553.3599999999</v>
      </c>
      <c r="L113" s="2">
        <f t="shared" si="32"/>
        <v>0</v>
      </c>
      <c r="M113" s="2">
        <f t="shared" si="32"/>
        <v>1291836.76</v>
      </c>
      <c r="N113" s="2">
        <f t="shared" si="32"/>
        <v>0</v>
      </c>
      <c r="O113" s="2">
        <f t="shared" si="32"/>
        <v>1343049.24</v>
      </c>
      <c r="P113" s="2">
        <f t="shared" si="32"/>
        <v>0</v>
      </c>
      <c r="Q113" s="2">
        <f t="shared" si="32"/>
        <v>1452525.99</v>
      </c>
      <c r="R113" s="2">
        <f t="shared" si="32"/>
        <v>0</v>
      </c>
      <c r="S113" s="2">
        <f t="shared" si="32"/>
        <v>1242140.78</v>
      </c>
      <c r="T113" s="2">
        <f t="shared" si="32"/>
        <v>0</v>
      </c>
      <c r="U113" s="2">
        <f t="shared" si="32"/>
        <v>1196585.6499999999</v>
      </c>
      <c r="V113" s="2">
        <f t="shared" si="32"/>
        <v>0</v>
      </c>
      <c r="W113" s="2">
        <f t="shared" si="32"/>
        <v>1283435.7</v>
      </c>
      <c r="X113" s="2">
        <f t="shared" si="32"/>
        <v>0</v>
      </c>
      <c r="Y113" s="2">
        <f t="shared" si="32"/>
        <v>0</v>
      </c>
      <c r="Z113" s="2">
        <f t="shared" si="32"/>
        <v>0</v>
      </c>
      <c r="AA113" s="16">
        <f t="shared" si="32"/>
        <v>28007459.789999999</v>
      </c>
      <c r="AB113" s="16">
        <f t="shared" si="32"/>
        <v>0</v>
      </c>
      <c r="AC113" s="16">
        <f t="shared" si="32"/>
        <v>33425614.419999998</v>
      </c>
      <c r="AD113" s="16">
        <f t="shared" si="32"/>
        <v>0</v>
      </c>
      <c r="AE113" s="16">
        <f t="shared" si="33"/>
        <v>36363970.560000002</v>
      </c>
      <c r="AF113" s="16">
        <f t="shared" si="33"/>
        <v>19065790.949999999</v>
      </c>
      <c r="AG113" s="16">
        <f t="shared" si="33"/>
        <v>0</v>
      </c>
      <c r="AH113" s="16">
        <f t="shared" si="33"/>
        <v>0</v>
      </c>
      <c r="AI113" s="16">
        <f t="shared" si="34"/>
        <v>34163653.079999998</v>
      </c>
      <c r="AJ113" s="16">
        <f t="shared" si="34"/>
        <v>16127711.879999999</v>
      </c>
      <c r="AK113" s="16">
        <f t="shared" si="34"/>
        <v>0</v>
      </c>
      <c r="AL113" s="16">
        <f t="shared" si="34"/>
        <v>0</v>
      </c>
      <c r="AM113" s="16">
        <f>AM11+AM23+AM29+AM35+AM47+AM54+AM61+AM68+AM75+AM82+AM96+AM103+AM17+AM41</f>
        <v>29409576.669999994</v>
      </c>
      <c r="AN113" s="16">
        <f>AN11+AN23+AN29+AN35+AN47+AN54+AN61+AN68+AN75+AN82+AN96+AN103+AN17+AN41</f>
        <v>18402119.850000001</v>
      </c>
      <c r="AO113" s="16">
        <f>AO11+AO23+AO29+AO35+AO47+AO54+AO61+AO68+AO75+AO82+AO96+AO103+AO17+AO41</f>
        <v>0</v>
      </c>
      <c r="AP113" s="16">
        <f>AP11+AP23+AP29+AP35+AP47+AP54+AP61+AP68+AP75+AP82+AP96+AP103+AP17+AP40</f>
        <v>0</v>
      </c>
      <c r="AQ113" s="23">
        <f>AQ11+AQ23+AQ29+AQ35+AQ47+AQ54+AQ61+AQ68+AQ75+AQ82+AQ96+AQ103+AQ17+AQ41</f>
        <v>35218119.460000008</v>
      </c>
      <c r="AR113" s="23">
        <f>AR11+AR23+AR29+AR35+AR47+AR54+AR61+AR68+AR75+AR82+AR96+AR103+AR17+AR41</f>
        <v>17509505.789999999</v>
      </c>
      <c r="AS113" s="23">
        <f>AS11+AS23+AS29+AS35+AS47+AS54+AS61+AS68+AS75+AS82+AS96+AS103+AS17+AS41</f>
        <v>0</v>
      </c>
      <c r="AT113" s="23">
        <f>AT11+AT23+AT29+AT35+AT47+AT54+AT61+AT68+AT75+AT82+AT96+AT103+AT17+AT40</f>
        <v>0</v>
      </c>
      <c r="AU113" s="58"/>
      <c r="AV113" s="58"/>
      <c r="AW113" s="44"/>
    </row>
    <row r="114" spans="1:49" ht="27.6" customHeight="1">
      <c r="A114" s="127" t="s">
        <v>8</v>
      </c>
      <c r="B114" s="156"/>
      <c r="C114" s="2">
        <f t="shared" si="32"/>
        <v>0</v>
      </c>
      <c r="D114" s="2">
        <f t="shared" si="32"/>
        <v>0</v>
      </c>
      <c r="E114" s="2">
        <f t="shared" si="32"/>
        <v>5781112.8999999994</v>
      </c>
      <c r="F114" s="2">
        <f t="shared" si="32"/>
        <v>0</v>
      </c>
      <c r="G114" s="2">
        <f t="shared" si="32"/>
        <v>841993.46</v>
      </c>
      <c r="H114" s="2">
        <f t="shared" si="32"/>
        <v>0</v>
      </c>
      <c r="I114" s="2">
        <f t="shared" si="32"/>
        <v>730672.66</v>
      </c>
      <c r="J114" s="2">
        <f t="shared" si="32"/>
        <v>0</v>
      </c>
      <c r="K114" s="2">
        <f t="shared" si="32"/>
        <v>907890.05999999994</v>
      </c>
      <c r="L114" s="2">
        <f t="shared" si="32"/>
        <v>0</v>
      </c>
      <c r="M114" s="2">
        <f t="shared" si="32"/>
        <v>596611.02</v>
      </c>
      <c r="N114" s="2">
        <f t="shared" si="32"/>
        <v>0</v>
      </c>
      <c r="O114" s="2">
        <f t="shared" si="32"/>
        <v>806056.14</v>
      </c>
      <c r="P114" s="2">
        <f t="shared" si="32"/>
        <v>0</v>
      </c>
      <c r="Q114" s="2">
        <f t="shared" si="32"/>
        <v>910579.46000000008</v>
      </c>
      <c r="R114" s="2">
        <f t="shared" si="32"/>
        <v>0</v>
      </c>
      <c r="S114" s="2">
        <f t="shared" si="32"/>
        <v>832315.84</v>
      </c>
      <c r="T114" s="2">
        <f t="shared" si="32"/>
        <v>0</v>
      </c>
      <c r="U114" s="2">
        <f t="shared" si="32"/>
        <v>786043.03</v>
      </c>
      <c r="V114" s="2">
        <f t="shared" si="32"/>
        <v>0</v>
      </c>
      <c r="W114" s="2">
        <f t="shared" si="32"/>
        <v>782576.37000000011</v>
      </c>
      <c r="X114" s="2">
        <f t="shared" si="32"/>
        <v>0</v>
      </c>
      <c r="Y114" s="2">
        <f t="shared" si="32"/>
        <v>4770499.5100000007</v>
      </c>
      <c r="Z114" s="2">
        <f t="shared" si="32"/>
        <v>0</v>
      </c>
      <c r="AA114" s="16">
        <f t="shared" si="32"/>
        <v>11517101.640000001</v>
      </c>
      <c r="AB114" s="16">
        <f t="shared" si="32"/>
        <v>0</v>
      </c>
      <c r="AC114" s="16">
        <f t="shared" si="32"/>
        <v>17884307.940000001</v>
      </c>
      <c r="AD114" s="16">
        <f t="shared" si="32"/>
        <v>11291466.59</v>
      </c>
      <c r="AE114" s="16">
        <f t="shared" si="33"/>
        <v>19682269.09</v>
      </c>
      <c r="AF114" s="16">
        <f t="shared" si="33"/>
        <v>9924703.2199999988</v>
      </c>
      <c r="AG114" s="16">
        <f t="shared" si="33"/>
        <v>0</v>
      </c>
      <c r="AH114" s="16">
        <f t="shared" si="33"/>
        <v>0</v>
      </c>
      <c r="AI114" s="16">
        <f t="shared" si="34"/>
        <v>19422993.020000003</v>
      </c>
      <c r="AJ114" s="16">
        <f t="shared" si="34"/>
        <v>9100808</v>
      </c>
      <c r="AK114" s="16">
        <f t="shared" si="34"/>
        <v>0</v>
      </c>
      <c r="AL114" s="16">
        <f t="shared" si="34"/>
        <v>0</v>
      </c>
      <c r="AM114" s="16">
        <f>AM12+AM24+AM30+AM36+AM48+AM55+AM62+AM69+AM76+AM83+AM97+AM104+AM18+AM42</f>
        <v>12055886.539999999</v>
      </c>
      <c r="AN114" s="16">
        <f>AN12+AN24+AN30+AN36+AN48+AN55+AN62+AN69+AN76+AN83+AN97+AN104+AO18+AN42</f>
        <v>7725839.5099999998</v>
      </c>
      <c r="AO114" s="16">
        <f t="shared" ref="AO114:AP116" si="35">AO12+AO24+AO30+AO36+AO48+AO55+AO62+AO69+AO76+AO83+AO97+AO104+AO18+AO42</f>
        <v>0</v>
      </c>
      <c r="AP114" s="16">
        <f t="shared" si="35"/>
        <v>0</v>
      </c>
      <c r="AQ114" s="23">
        <f>AQ12+AQ24+AQ30+AQ36+AQ48+AQ55+AQ62+AQ69+AQ76+AQ83+AQ97+AQ104+AQ18+AQ42</f>
        <v>22126639.689999998</v>
      </c>
      <c r="AR114" s="23">
        <f>AR12+AR24+AR30+AR36+AR48+AR55+AR62+AR69+AR76+AR83+AR97+AR104+AS18+AR42</f>
        <v>12779241.960000001</v>
      </c>
      <c r="AS114" s="23">
        <f t="shared" ref="AS114:AT116" si="36">AS12+AS24+AS30+AS36+AS48+AS55+AS62+AS69+AS76+AS83+AS97+AS104+AS18+AS42</f>
        <v>0</v>
      </c>
      <c r="AT114" s="23">
        <f t="shared" si="36"/>
        <v>0</v>
      </c>
      <c r="AU114" s="58"/>
      <c r="AV114" s="58"/>
      <c r="AW114" s="44"/>
    </row>
    <row r="115" spans="1:49">
      <c r="A115" s="127" t="s">
        <v>9</v>
      </c>
      <c r="B115" s="156"/>
      <c r="C115" s="2">
        <f t="shared" ref="C115:Z115" si="37">C13+C56+C63+C70+C77+C84+C91+C98+C105+C108</f>
        <v>0</v>
      </c>
      <c r="D115" s="2">
        <f t="shared" si="37"/>
        <v>0</v>
      </c>
      <c r="E115" s="2">
        <f t="shared" si="37"/>
        <v>60461371.310000002</v>
      </c>
      <c r="F115" s="2">
        <f t="shared" si="37"/>
        <v>58245420.57</v>
      </c>
      <c r="G115" s="2">
        <f t="shared" si="37"/>
        <v>69929562.310000002</v>
      </c>
      <c r="H115" s="2">
        <f t="shared" si="37"/>
        <v>58525671.140000001</v>
      </c>
      <c r="I115" s="2">
        <f t="shared" si="37"/>
        <v>65526882.990000002</v>
      </c>
      <c r="J115" s="2">
        <f t="shared" si="37"/>
        <v>61624312.380000003</v>
      </c>
      <c r="K115" s="2">
        <f t="shared" si="37"/>
        <v>71721506.659999996</v>
      </c>
      <c r="L115" s="2">
        <f t="shared" si="37"/>
        <v>64774384.220000006</v>
      </c>
      <c r="M115" s="2">
        <f t="shared" si="37"/>
        <v>75480113.579999998</v>
      </c>
      <c r="N115" s="2">
        <f t="shared" si="37"/>
        <v>65031804.82</v>
      </c>
      <c r="O115" s="2">
        <f t="shared" si="37"/>
        <v>72791361.200000003</v>
      </c>
      <c r="P115" s="2">
        <f t="shared" si="37"/>
        <v>72572463.200000003</v>
      </c>
      <c r="Q115" s="2">
        <f t="shared" si="37"/>
        <v>72380297.609999999</v>
      </c>
      <c r="R115" s="2">
        <f t="shared" si="37"/>
        <v>65383680.850000001</v>
      </c>
      <c r="S115" s="2">
        <f t="shared" si="37"/>
        <v>72695876.399999991</v>
      </c>
      <c r="T115" s="2">
        <f t="shared" si="37"/>
        <v>65850024.600000001</v>
      </c>
      <c r="U115" s="2">
        <f t="shared" si="37"/>
        <v>69041659.049999997</v>
      </c>
      <c r="V115" s="2">
        <f t="shared" si="37"/>
        <v>68852972.399999991</v>
      </c>
      <c r="W115" s="2">
        <f t="shared" si="37"/>
        <v>65102023.400000006</v>
      </c>
      <c r="X115" s="2">
        <f t="shared" si="37"/>
        <v>64910950.400000006</v>
      </c>
      <c r="Y115" s="2">
        <f t="shared" si="37"/>
        <v>66208215.299999997</v>
      </c>
      <c r="Z115" s="2">
        <f t="shared" si="37"/>
        <v>65394874.099999994</v>
      </c>
      <c r="AA115" s="16">
        <f t="shared" si="32"/>
        <v>14182522.93</v>
      </c>
      <c r="AB115" s="16">
        <f t="shared" si="32"/>
        <v>12430432.640000001</v>
      </c>
      <c r="AC115" s="16">
        <f t="shared" si="32"/>
        <v>21526116.329999998</v>
      </c>
      <c r="AD115" s="16">
        <f t="shared" si="32"/>
        <v>20453326.48</v>
      </c>
      <c r="AE115" s="16">
        <f t="shared" si="33"/>
        <v>6002746.2800000012</v>
      </c>
      <c r="AF115" s="16">
        <f t="shared" si="33"/>
        <v>92285.57</v>
      </c>
      <c r="AG115" s="16">
        <f t="shared" si="33"/>
        <v>5647572.7300000004</v>
      </c>
      <c r="AH115" s="16">
        <f t="shared" si="33"/>
        <v>0</v>
      </c>
      <c r="AI115" s="16">
        <f t="shared" si="34"/>
        <v>500646.57</v>
      </c>
      <c r="AJ115" s="16">
        <f t="shared" si="34"/>
        <v>0</v>
      </c>
      <c r="AK115" s="16">
        <f t="shared" si="34"/>
        <v>381120</v>
      </c>
      <c r="AL115" s="16">
        <f t="shared" si="34"/>
        <v>0</v>
      </c>
      <c r="AM115" s="16">
        <f>AM13+AM25+AM31+AM37+AM49+AM56+AM63+AM70+AM77+AM84+AM98+AM105+AM19+AM43</f>
        <v>101526.20999999999</v>
      </c>
      <c r="AN115" s="16">
        <f>AN13+AN25+AN31+AN37+AN49+AN56+AN63+AN70+AN77+AN84+AN98+AN105+AN19+AN43</f>
        <v>64281.21</v>
      </c>
      <c r="AO115" s="16">
        <f t="shared" si="35"/>
        <v>0</v>
      </c>
      <c r="AP115" s="16">
        <f t="shared" si="35"/>
        <v>0</v>
      </c>
      <c r="AQ115" s="23">
        <f>AQ13+AQ25+AQ31+AQ37+AQ49+AQ56+AQ63+AQ70+AQ77+AQ84+AQ98+AQ105+AQ19+AQ43</f>
        <v>0</v>
      </c>
      <c r="AR115" s="23">
        <f>AR13+AR25+AR31+AR37+AR49+AR56+AR63+AR70+AR77+AR84+AR98+AR105+AR19+AR43</f>
        <v>0</v>
      </c>
      <c r="AS115" s="23">
        <f t="shared" si="36"/>
        <v>0</v>
      </c>
      <c r="AT115" s="23">
        <f t="shared" si="36"/>
        <v>0</v>
      </c>
      <c r="AU115" s="58"/>
      <c r="AV115" s="58"/>
      <c r="AW115" s="44"/>
    </row>
    <row r="116" spans="1:49">
      <c r="A116" s="127" t="s">
        <v>14</v>
      </c>
      <c r="B116" s="156"/>
      <c r="C116" s="2">
        <f t="shared" ref="C116:Z116" si="38">C14+C57+C64+C71+C78+C85+C92+C99+C106</f>
        <v>0</v>
      </c>
      <c r="D116" s="2">
        <f t="shared" si="38"/>
        <v>0</v>
      </c>
      <c r="E116" s="2">
        <f t="shared" si="38"/>
        <v>1669019.14</v>
      </c>
      <c r="F116" s="2">
        <f t="shared" si="38"/>
        <v>1882435.7999999998</v>
      </c>
      <c r="G116" s="2">
        <f t="shared" si="38"/>
        <v>1912163.48</v>
      </c>
      <c r="H116" s="2">
        <f t="shared" si="38"/>
        <v>1882435.8</v>
      </c>
      <c r="I116" s="2">
        <f t="shared" si="38"/>
        <v>1912257.9000000001</v>
      </c>
      <c r="J116" s="2">
        <f t="shared" si="38"/>
        <v>1882435.8</v>
      </c>
      <c r="K116" s="2">
        <f t="shared" si="38"/>
        <v>1882435.8</v>
      </c>
      <c r="L116" s="2">
        <f t="shared" si="38"/>
        <v>1882435.8</v>
      </c>
      <c r="M116" s="2">
        <f t="shared" si="38"/>
        <v>1882435.8</v>
      </c>
      <c r="N116" s="2">
        <f t="shared" si="38"/>
        <v>1882435.8</v>
      </c>
      <c r="O116" s="2">
        <f t="shared" si="38"/>
        <v>1918227.3900000001</v>
      </c>
      <c r="P116" s="2">
        <f t="shared" si="38"/>
        <v>1882435.8</v>
      </c>
      <c r="Q116" s="2">
        <f t="shared" si="38"/>
        <v>1914435.79</v>
      </c>
      <c r="R116" s="2">
        <f t="shared" si="38"/>
        <v>1882435.8</v>
      </c>
      <c r="S116" s="2">
        <f t="shared" si="38"/>
        <v>1914497.09</v>
      </c>
      <c r="T116" s="2">
        <f t="shared" si="38"/>
        <v>1882435.8</v>
      </c>
      <c r="U116" s="2">
        <f t="shared" si="38"/>
        <v>1917459.72</v>
      </c>
      <c r="V116" s="2">
        <f t="shared" si="38"/>
        <v>1882435.8</v>
      </c>
      <c r="W116" s="2">
        <f t="shared" si="38"/>
        <v>1904985.28</v>
      </c>
      <c r="X116" s="2">
        <f t="shared" si="38"/>
        <v>1882435.8</v>
      </c>
      <c r="Y116" s="2">
        <f t="shared" si="38"/>
        <v>30983920.480000004</v>
      </c>
      <c r="Z116" s="2">
        <f t="shared" si="38"/>
        <v>30913688.039999999</v>
      </c>
      <c r="AA116" s="16">
        <f t="shared" si="32"/>
        <v>4406576.5</v>
      </c>
      <c r="AB116" s="16">
        <f t="shared" si="32"/>
        <v>2369961.35</v>
      </c>
      <c r="AC116" s="16">
        <f t="shared" si="32"/>
        <v>40352793.869999997</v>
      </c>
      <c r="AD116" s="16">
        <f t="shared" si="32"/>
        <v>38134374.859999999</v>
      </c>
      <c r="AE116" s="16">
        <f t="shared" si="33"/>
        <v>7870302.5999999996</v>
      </c>
      <c r="AF116" s="16">
        <f t="shared" si="33"/>
        <v>2860480.3600000003</v>
      </c>
      <c r="AG116" s="16">
        <f t="shared" si="33"/>
        <v>5005157.24</v>
      </c>
      <c r="AH116" s="16">
        <f t="shared" si="33"/>
        <v>0</v>
      </c>
      <c r="AI116" s="16">
        <f t="shared" si="34"/>
        <v>8026868.0799999991</v>
      </c>
      <c r="AJ116" s="16">
        <f t="shared" si="34"/>
        <v>847221.52</v>
      </c>
      <c r="AK116" s="16">
        <f t="shared" si="34"/>
        <v>0</v>
      </c>
      <c r="AL116" s="16">
        <f t="shared" si="34"/>
        <v>0</v>
      </c>
      <c r="AM116" s="16">
        <f>AM14+AM26+AM32+AM38+AM50+AM57+AM64+AM71+AM78+AM85+AM99+AM106+AM20+AM44</f>
        <v>1324931.1499999999</v>
      </c>
      <c r="AN116" s="16">
        <f>AN14+AN26+AN32+AN38+AN50+AN57+AN64+AN71+AN78+AN85+AN99+AN106+AN20+AN44</f>
        <v>1128483.68</v>
      </c>
      <c r="AO116" s="16">
        <f t="shared" si="35"/>
        <v>0</v>
      </c>
      <c r="AP116" s="16">
        <f t="shared" si="35"/>
        <v>0</v>
      </c>
      <c r="AQ116" s="23">
        <f>AQ14+AQ26+AQ32+AQ38+AQ50+AQ57+AQ64+AQ71+AQ78+AQ85+AQ99+AQ106+AQ20+AQ44</f>
        <v>8330406.7700000005</v>
      </c>
      <c r="AR116" s="23">
        <f>AR14+AR26+AR32+AR38+AR50+AR57+AR64+AR71+AR78+AR85+AR99+AR106+AR20+AR44</f>
        <v>8100702.2000000002</v>
      </c>
      <c r="AS116" s="23">
        <f t="shared" si="36"/>
        <v>0</v>
      </c>
      <c r="AT116" s="23">
        <f t="shared" si="36"/>
        <v>0</v>
      </c>
      <c r="AU116" s="58"/>
      <c r="AV116" s="58"/>
      <c r="AW116" s="44"/>
    </row>
    <row r="117" spans="1:49">
      <c r="A117" s="157" t="s">
        <v>17</v>
      </c>
      <c r="B117" s="156"/>
      <c r="C117" s="3">
        <v>19700824</v>
      </c>
      <c r="D117" s="3"/>
      <c r="E117" s="3">
        <v>30646350</v>
      </c>
      <c r="F117" s="3"/>
      <c r="G117" s="3">
        <v>30646350</v>
      </c>
      <c r="H117" s="3"/>
      <c r="I117" s="3">
        <v>30646350</v>
      </c>
      <c r="J117" s="3"/>
      <c r="K117" s="3">
        <v>30646350</v>
      </c>
      <c r="L117" s="3"/>
      <c r="M117" s="3">
        <v>30646350</v>
      </c>
      <c r="N117" s="3"/>
      <c r="O117" s="3">
        <v>30646350</v>
      </c>
      <c r="P117" s="3"/>
      <c r="Q117" s="3">
        <v>30646350</v>
      </c>
      <c r="R117" s="3"/>
      <c r="S117" s="3">
        <v>39646350</v>
      </c>
      <c r="T117" s="3"/>
      <c r="U117" s="3">
        <v>39646350</v>
      </c>
      <c r="V117" s="3"/>
      <c r="W117" s="3">
        <v>39646350</v>
      </c>
      <c r="X117" s="3"/>
      <c r="Y117" s="3">
        <v>39592849</v>
      </c>
      <c r="Z117" s="3"/>
      <c r="AA117" s="22">
        <v>43884741</v>
      </c>
      <c r="AB117" s="18"/>
      <c r="AC117" s="22">
        <v>38729175</v>
      </c>
      <c r="AD117" s="18"/>
      <c r="AE117" s="22">
        <v>1250000</v>
      </c>
      <c r="AF117" s="22"/>
      <c r="AG117" s="22"/>
      <c r="AH117" s="22"/>
      <c r="AI117" s="22">
        <v>0</v>
      </c>
      <c r="AJ117" s="22"/>
      <c r="AK117" s="22"/>
      <c r="AL117" s="22"/>
      <c r="AM117" s="22">
        <v>20316355.16</v>
      </c>
      <c r="AN117" s="22"/>
      <c r="AO117" s="22"/>
      <c r="AP117" s="22"/>
      <c r="AQ117" s="3">
        <v>17700000</v>
      </c>
      <c r="AR117" s="3"/>
      <c r="AS117" s="3"/>
      <c r="AT117" s="3"/>
      <c r="AU117" s="58"/>
      <c r="AV117" s="58"/>
      <c r="AW117" s="44"/>
    </row>
    <row r="118" spans="1:49">
      <c r="A118" s="157" t="s">
        <v>18</v>
      </c>
      <c r="B118" s="156"/>
      <c r="C118" s="3">
        <f t="shared" ref="C118:AA118" si="39">C111+C117</f>
        <v>114288501.81999999</v>
      </c>
      <c r="D118" s="3">
        <f t="shared" si="39"/>
        <v>68008770.719999999</v>
      </c>
      <c r="E118" s="3">
        <f t="shared" si="39"/>
        <v>116511079.75999999</v>
      </c>
      <c r="F118" s="3">
        <f t="shared" si="39"/>
        <v>66510808.209999993</v>
      </c>
      <c r="G118" s="3">
        <f t="shared" si="39"/>
        <v>124157416.09000002</v>
      </c>
      <c r="H118" s="3">
        <f t="shared" si="39"/>
        <v>66963948.660000004</v>
      </c>
      <c r="I118" s="3">
        <f t="shared" si="39"/>
        <v>123086498.88000001</v>
      </c>
      <c r="J118" s="3">
        <f t="shared" si="39"/>
        <v>69371696.100000009</v>
      </c>
      <c r="K118" s="3">
        <f t="shared" si="39"/>
        <v>124338367.95999999</v>
      </c>
      <c r="L118" s="3">
        <f t="shared" si="39"/>
        <v>72494645.030000001</v>
      </c>
      <c r="M118" s="3">
        <f t="shared" si="39"/>
        <v>125996638.34</v>
      </c>
      <c r="N118" s="3">
        <f t="shared" si="39"/>
        <v>74699098.340000004</v>
      </c>
      <c r="O118" s="3">
        <f t="shared" si="39"/>
        <v>123599288.27</v>
      </c>
      <c r="P118" s="3">
        <f t="shared" si="39"/>
        <v>82357876.220000014</v>
      </c>
      <c r="Q118" s="3">
        <f t="shared" si="39"/>
        <v>128095881.20999998</v>
      </c>
      <c r="R118" s="3">
        <f t="shared" si="39"/>
        <v>74441297.569999993</v>
      </c>
      <c r="S118" s="3">
        <f t="shared" si="39"/>
        <v>136401625.49000001</v>
      </c>
      <c r="T118" s="3">
        <f t="shared" si="39"/>
        <v>74719949.890000001</v>
      </c>
      <c r="U118" s="3">
        <f t="shared" si="39"/>
        <v>136999081.71999997</v>
      </c>
      <c r="V118" s="3">
        <f t="shared" si="39"/>
        <v>74918061.669999987</v>
      </c>
      <c r="W118" s="3">
        <f t="shared" si="39"/>
        <v>143078032.53</v>
      </c>
      <c r="X118" s="3">
        <f t="shared" si="39"/>
        <v>71550048.36999999</v>
      </c>
      <c r="Y118" s="3">
        <f t="shared" si="39"/>
        <v>179105676.16999999</v>
      </c>
      <c r="Z118" s="3">
        <f t="shared" si="39"/>
        <v>116277638.82999998</v>
      </c>
      <c r="AA118" s="22">
        <f t="shared" si="39"/>
        <v>180677679.08000001</v>
      </c>
      <c r="AB118" s="22">
        <f>AB111+AB117</f>
        <v>43344897.469999999</v>
      </c>
      <c r="AC118" s="22">
        <f t="shared" ref="AC118:AT118" si="40">AC111+AC117</f>
        <v>249815793.58000001</v>
      </c>
      <c r="AD118" s="22">
        <f t="shared" si="40"/>
        <v>119975047.31999999</v>
      </c>
      <c r="AE118" s="22">
        <f t="shared" si="40"/>
        <v>130196217.90000001</v>
      </c>
      <c r="AF118" s="22">
        <f t="shared" si="40"/>
        <v>32163242.649999999</v>
      </c>
      <c r="AG118" s="22">
        <f t="shared" si="40"/>
        <v>14429840.109999999</v>
      </c>
      <c r="AH118" s="22">
        <f t="shared" si="40"/>
        <v>0</v>
      </c>
      <c r="AI118" s="22">
        <f t="shared" si="40"/>
        <v>110206071.34</v>
      </c>
      <c r="AJ118" s="22">
        <f t="shared" si="40"/>
        <v>26197666.589999996</v>
      </c>
      <c r="AK118" s="22">
        <f t="shared" si="40"/>
        <v>952355</v>
      </c>
      <c r="AL118" s="22">
        <f t="shared" si="40"/>
        <v>571235</v>
      </c>
      <c r="AM118" s="22">
        <f t="shared" si="40"/>
        <v>101092901.7</v>
      </c>
      <c r="AN118" s="22">
        <f t="shared" si="40"/>
        <v>35099528.390000001</v>
      </c>
      <c r="AO118" s="22">
        <f t="shared" si="40"/>
        <v>0</v>
      </c>
      <c r="AP118" s="22">
        <f t="shared" si="40"/>
        <v>0</v>
      </c>
      <c r="AQ118" s="3">
        <f t="shared" si="40"/>
        <v>133694341.81</v>
      </c>
      <c r="AR118" s="3">
        <f t="shared" si="40"/>
        <v>46721002.879999995</v>
      </c>
      <c r="AS118" s="3">
        <f t="shared" si="40"/>
        <v>7551208.0300000003</v>
      </c>
      <c r="AT118" s="3">
        <f t="shared" si="40"/>
        <v>7551208.0300000003</v>
      </c>
      <c r="AU118" s="58">
        <f>AQ118/AM118-1</f>
        <v>0.32248990346272755</v>
      </c>
      <c r="AV118" s="58" t="e">
        <f>AS118/AO118-1</f>
        <v>#DIV/0!</v>
      </c>
      <c r="AW118" s="44"/>
    </row>
    <row r="119" spans="1:49">
      <c r="A119" s="127" t="s">
        <v>19</v>
      </c>
      <c r="B119" s="156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15"/>
      <c r="AB119" s="15"/>
      <c r="AC119" s="15"/>
      <c r="AD119" s="15"/>
      <c r="AE119" s="15"/>
      <c r="AF119" s="15"/>
      <c r="AG119" s="15"/>
      <c r="AH119" s="15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</row>
    <row r="120" spans="1:49">
      <c r="A120" s="127" t="s">
        <v>24</v>
      </c>
      <c r="B120" s="156"/>
      <c r="C120" s="4">
        <v>102575991</v>
      </c>
      <c r="D120" s="4">
        <v>63430848.460000001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</row>
    <row r="121" spans="1:49">
      <c r="A121" s="127" t="s">
        <v>23</v>
      </c>
      <c r="B121" s="156"/>
      <c r="C121" s="4">
        <f>C118-C120</f>
        <v>11712510.819999993</v>
      </c>
      <c r="D121" s="4">
        <f>D118-D120</f>
        <v>4577922.2599999979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</row>
    <row r="122" spans="1:49">
      <c r="A122" s="127" t="s">
        <v>37</v>
      </c>
      <c r="B122" s="156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21">
        <v>2369961.35</v>
      </c>
      <c r="AB122" s="21">
        <v>2369961.35</v>
      </c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</row>
    <row r="123" spans="1:49"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</row>
    <row r="124" spans="1:49"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</row>
    <row r="125" spans="1:49"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</row>
    <row r="126" spans="1:49"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</row>
    <row r="127" spans="1:49"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</row>
    <row r="128" spans="1:49"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</row>
    <row r="129" spans="35:48"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</row>
    <row r="130" spans="35:48"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</row>
    <row r="131" spans="35:48"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</row>
    <row r="132" spans="35:48"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</row>
  </sheetData>
  <mergeCells count="517">
    <mergeCell ref="B1:AU4"/>
    <mergeCell ref="A5:B7"/>
    <mergeCell ref="C5:D6"/>
    <mergeCell ref="E5:F6"/>
    <mergeCell ref="G5:H6"/>
    <mergeCell ref="I5:J6"/>
    <mergeCell ref="K5:L6"/>
    <mergeCell ref="M5:N6"/>
    <mergeCell ref="O5:P6"/>
    <mergeCell ref="Q5:R6"/>
    <mergeCell ref="AQ5:AT6"/>
    <mergeCell ref="AU5:AV6"/>
    <mergeCell ref="AA5:AB6"/>
    <mergeCell ref="AC5:AD6"/>
    <mergeCell ref="AE5:AH6"/>
    <mergeCell ref="AI5:AL6"/>
    <mergeCell ref="AM5:AP6"/>
    <mergeCell ref="A8:B9"/>
    <mergeCell ref="C8:C9"/>
    <mergeCell ref="D8:D9"/>
    <mergeCell ref="E8:E9"/>
    <mergeCell ref="F8:F9"/>
    <mergeCell ref="S5:T6"/>
    <mergeCell ref="U5:V6"/>
    <mergeCell ref="W5:X6"/>
    <mergeCell ref="Y5:Z6"/>
    <mergeCell ref="G8:G9"/>
    <mergeCell ref="H8:H9"/>
    <mergeCell ref="I8:I9"/>
    <mergeCell ref="J8:J9"/>
    <mergeCell ref="K8:K9"/>
    <mergeCell ref="L8:L9"/>
    <mergeCell ref="S8:S9"/>
    <mergeCell ref="T8:T9"/>
    <mergeCell ref="U8:U9"/>
    <mergeCell ref="V8:V9"/>
    <mergeCell ref="W8:W9"/>
    <mergeCell ref="X8:X9"/>
    <mergeCell ref="M8:M9"/>
    <mergeCell ref="N8:N9"/>
    <mergeCell ref="O8:O9"/>
    <mergeCell ref="P8:P9"/>
    <mergeCell ref="Q8:Q9"/>
    <mergeCell ref="R8:R9"/>
    <mergeCell ref="AE8:AE9"/>
    <mergeCell ref="AF8:AF9"/>
    <mergeCell ref="AG8:AG9"/>
    <mergeCell ref="AH8:AH9"/>
    <mergeCell ref="AI8:AI9"/>
    <mergeCell ref="AJ8:AJ9"/>
    <mergeCell ref="Y8:Y9"/>
    <mergeCell ref="Z8:Z9"/>
    <mergeCell ref="AA8:AA9"/>
    <mergeCell ref="AB8:AB9"/>
    <mergeCell ref="AC8:AC9"/>
    <mergeCell ref="AD8:AD9"/>
    <mergeCell ref="AQ8:AQ9"/>
    <mergeCell ref="AR8:AR9"/>
    <mergeCell ref="AS8:AS9"/>
    <mergeCell ref="AT8:AT9"/>
    <mergeCell ref="AU8:AU9"/>
    <mergeCell ref="AV8:AV9"/>
    <mergeCell ref="AK8:AK9"/>
    <mergeCell ref="AL8:AL9"/>
    <mergeCell ref="AM8:AM9"/>
    <mergeCell ref="AN8:AN9"/>
    <mergeCell ref="AO8:AO9"/>
    <mergeCell ref="AP8:AP9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C51:C52"/>
    <mergeCell ref="D51:D52"/>
    <mergeCell ref="E51:E52"/>
    <mergeCell ref="F51:F52"/>
    <mergeCell ref="G51:G52"/>
    <mergeCell ref="H51:H52"/>
    <mergeCell ref="A46:B46"/>
    <mergeCell ref="A47:B47"/>
    <mergeCell ref="A48:B48"/>
    <mergeCell ref="A49:B49"/>
    <mergeCell ref="A50:B50"/>
    <mergeCell ref="A51:B52"/>
    <mergeCell ref="AV51:AV52"/>
    <mergeCell ref="A53:B53"/>
    <mergeCell ref="A54:B54"/>
    <mergeCell ref="AM51:AM52"/>
    <mergeCell ref="AN51:AN52"/>
    <mergeCell ref="AO51:AO52"/>
    <mergeCell ref="AP51:AP52"/>
    <mergeCell ref="AQ51:AQ52"/>
    <mergeCell ref="AR51:AR52"/>
    <mergeCell ref="AG51:AG52"/>
    <mergeCell ref="AH51:AH52"/>
    <mergeCell ref="AI51:AI52"/>
    <mergeCell ref="AJ51:AJ52"/>
    <mergeCell ref="AK51:AK52"/>
    <mergeCell ref="AL51:AL52"/>
    <mergeCell ref="AA51:AA52"/>
    <mergeCell ref="AB51:AB52"/>
    <mergeCell ref="AC51:AC52"/>
    <mergeCell ref="AD51:AD52"/>
    <mergeCell ref="AE51:AE52"/>
    <mergeCell ref="AF51:AF52"/>
    <mergeCell ref="U51:U52"/>
    <mergeCell ref="V51:V52"/>
    <mergeCell ref="W51:W52"/>
    <mergeCell ref="A55:B55"/>
    <mergeCell ref="A56:B56"/>
    <mergeCell ref="A57:B57"/>
    <mergeCell ref="A58:B59"/>
    <mergeCell ref="C58:C59"/>
    <mergeCell ref="D58:D59"/>
    <mergeCell ref="AS51:AS52"/>
    <mergeCell ref="AT51:AT52"/>
    <mergeCell ref="AU51:AU52"/>
    <mergeCell ref="X51:X52"/>
    <mergeCell ref="Y51:Y52"/>
    <mergeCell ref="Z51:Z52"/>
    <mergeCell ref="O51:O52"/>
    <mergeCell ref="P51:P52"/>
    <mergeCell ref="Q51:Q52"/>
    <mergeCell ref="R51:R52"/>
    <mergeCell ref="S51:S52"/>
    <mergeCell ref="T51:T52"/>
    <mergeCell ref="I51:I52"/>
    <mergeCell ref="J51:J52"/>
    <mergeCell ref="K51:K52"/>
    <mergeCell ref="L51:L52"/>
    <mergeCell ref="M51:M52"/>
    <mergeCell ref="N51:N52"/>
    <mergeCell ref="K58:K59"/>
    <mergeCell ref="L58:L59"/>
    <mergeCell ref="M58:M59"/>
    <mergeCell ref="N58:N59"/>
    <mergeCell ref="O58:O59"/>
    <mergeCell ref="P58:P59"/>
    <mergeCell ref="E58:E59"/>
    <mergeCell ref="F58:F59"/>
    <mergeCell ref="G58:G59"/>
    <mergeCell ref="H58:H59"/>
    <mergeCell ref="I58:I59"/>
    <mergeCell ref="J58:J59"/>
    <mergeCell ref="W58:W59"/>
    <mergeCell ref="X58:X59"/>
    <mergeCell ref="Y58:Y59"/>
    <mergeCell ref="Z58:Z59"/>
    <mergeCell ref="AA58:AA59"/>
    <mergeCell ref="AB58:AB59"/>
    <mergeCell ref="Q58:Q59"/>
    <mergeCell ref="R58:R59"/>
    <mergeCell ref="S58:S59"/>
    <mergeCell ref="T58:T59"/>
    <mergeCell ref="U58:U59"/>
    <mergeCell ref="V58:V59"/>
    <mergeCell ref="AU58:AU59"/>
    <mergeCell ref="AV58:AV59"/>
    <mergeCell ref="A60:B60"/>
    <mergeCell ref="A61:B61"/>
    <mergeCell ref="A62:B62"/>
    <mergeCell ref="A63:B63"/>
    <mergeCell ref="AO58:AO59"/>
    <mergeCell ref="AP58:AP59"/>
    <mergeCell ref="AQ58:AQ59"/>
    <mergeCell ref="AR58:AR59"/>
    <mergeCell ref="AS58:AS59"/>
    <mergeCell ref="AT58:AT59"/>
    <mergeCell ref="AI58:AI59"/>
    <mergeCell ref="AJ58:AJ59"/>
    <mergeCell ref="AK58:AK59"/>
    <mergeCell ref="AL58:AL59"/>
    <mergeCell ref="AM58:AM59"/>
    <mergeCell ref="AN58:AN59"/>
    <mergeCell ref="AC58:AC59"/>
    <mergeCell ref="AD58:AD59"/>
    <mergeCell ref="AE58:AE59"/>
    <mergeCell ref="AF58:AF59"/>
    <mergeCell ref="AG58:AG59"/>
    <mergeCell ref="AH58:AH59"/>
    <mergeCell ref="G65:G66"/>
    <mergeCell ref="H65:H66"/>
    <mergeCell ref="I65:I66"/>
    <mergeCell ref="J65:J66"/>
    <mergeCell ref="K65:K66"/>
    <mergeCell ref="L65:L66"/>
    <mergeCell ref="A64:B64"/>
    <mergeCell ref="A65:B66"/>
    <mergeCell ref="C65:C66"/>
    <mergeCell ref="D65:D66"/>
    <mergeCell ref="E65:E66"/>
    <mergeCell ref="F65:F66"/>
    <mergeCell ref="V65:V66"/>
    <mergeCell ref="W65:W66"/>
    <mergeCell ref="X65:X66"/>
    <mergeCell ref="M65:M66"/>
    <mergeCell ref="N65:N66"/>
    <mergeCell ref="O65:O66"/>
    <mergeCell ref="P65:P66"/>
    <mergeCell ref="Q65:Q66"/>
    <mergeCell ref="R65:R66"/>
    <mergeCell ref="AT65:AT66"/>
    <mergeCell ref="AU65:AU66"/>
    <mergeCell ref="AV65:AV66"/>
    <mergeCell ref="AK65:AK66"/>
    <mergeCell ref="AL65:AL66"/>
    <mergeCell ref="AM65:AM66"/>
    <mergeCell ref="AN65:AN66"/>
    <mergeCell ref="AO65:AO66"/>
    <mergeCell ref="AP65:AP66"/>
    <mergeCell ref="A67:B67"/>
    <mergeCell ref="A68:B68"/>
    <mergeCell ref="A69:B69"/>
    <mergeCell ref="A70:B70"/>
    <mergeCell ref="A71:B71"/>
    <mergeCell ref="A72:B73"/>
    <mergeCell ref="AQ65:AQ66"/>
    <mergeCell ref="AR65:AR66"/>
    <mergeCell ref="AS65:AS66"/>
    <mergeCell ref="AE65:AE66"/>
    <mergeCell ref="AF65:AF66"/>
    <mergeCell ref="AG65:AG66"/>
    <mergeCell ref="AH65:AH66"/>
    <mergeCell ref="AI65:AI66"/>
    <mergeCell ref="AJ65:AJ66"/>
    <mergeCell ref="Y65:Y66"/>
    <mergeCell ref="Z65:Z66"/>
    <mergeCell ref="AA65:AA66"/>
    <mergeCell ref="AB65:AB66"/>
    <mergeCell ref="AC65:AC66"/>
    <mergeCell ref="AD65:AD66"/>
    <mergeCell ref="S65:S66"/>
    <mergeCell ref="T65:T66"/>
    <mergeCell ref="U65:U66"/>
    <mergeCell ref="I72:I73"/>
    <mergeCell ref="J72:J73"/>
    <mergeCell ref="K72:K73"/>
    <mergeCell ref="L72:L73"/>
    <mergeCell ref="M72:M73"/>
    <mergeCell ref="N72:N73"/>
    <mergeCell ref="C72:C73"/>
    <mergeCell ref="D72:D73"/>
    <mergeCell ref="E72:E73"/>
    <mergeCell ref="F72:F73"/>
    <mergeCell ref="G72:G73"/>
    <mergeCell ref="H72:H73"/>
    <mergeCell ref="U72:U73"/>
    <mergeCell ref="V72:V73"/>
    <mergeCell ref="W72:W73"/>
    <mergeCell ref="X72:X73"/>
    <mergeCell ref="Y72:Y73"/>
    <mergeCell ref="Z72:Z73"/>
    <mergeCell ref="O72:O73"/>
    <mergeCell ref="P72:P73"/>
    <mergeCell ref="Q72:Q73"/>
    <mergeCell ref="R72:R73"/>
    <mergeCell ref="S72:S73"/>
    <mergeCell ref="T72:T73"/>
    <mergeCell ref="AS72:AS73"/>
    <mergeCell ref="AT72:AT73"/>
    <mergeCell ref="AU72:AU73"/>
    <mergeCell ref="AV72:AV73"/>
    <mergeCell ref="A74:B74"/>
    <mergeCell ref="A75:B75"/>
    <mergeCell ref="AM72:AM73"/>
    <mergeCell ref="AN72:AN73"/>
    <mergeCell ref="AO72:AO73"/>
    <mergeCell ref="AP72:AP73"/>
    <mergeCell ref="AQ72:AQ73"/>
    <mergeCell ref="AR72:AR73"/>
    <mergeCell ref="AG72:AG73"/>
    <mergeCell ref="AH72:AH73"/>
    <mergeCell ref="AI72:AI73"/>
    <mergeCell ref="AJ72:AJ73"/>
    <mergeCell ref="AK72:AK73"/>
    <mergeCell ref="AL72:AL73"/>
    <mergeCell ref="AA72:AA73"/>
    <mergeCell ref="AB72:AB73"/>
    <mergeCell ref="AC72:AC73"/>
    <mergeCell ref="AD72:AD73"/>
    <mergeCell ref="AE72:AE73"/>
    <mergeCell ref="AF72:AF73"/>
    <mergeCell ref="E79:E80"/>
    <mergeCell ref="F79:F80"/>
    <mergeCell ref="G79:G80"/>
    <mergeCell ref="H79:H80"/>
    <mergeCell ref="I79:I80"/>
    <mergeCell ref="J79:J80"/>
    <mergeCell ref="A76:B76"/>
    <mergeCell ref="A77:B77"/>
    <mergeCell ref="A78:B78"/>
    <mergeCell ref="A79:B80"/>
    <mergeCell ref="C79:C80"/>
    <mergeCell ref="D79:D80"/>
    <mergeCell ref="Q79:Q80"/>
    <mergeCell ref="R79:R80"/>
    <mergeCell ref="S79:S80"/>
    <mergeCell ref="T79:T80"/>
    <mergeCell ref="U79:U80"/>
    <mergeCell ref="V79:V80"/>
    <mergeCell ref="K79:K80"/>
    <mergeCell ref="L79:L80"/>
    <mergeCell ref="M79:M80"/>
    <mergeCell ref="N79:N80"/>
    <mergeCell ref="O79:O80"/>
    <mergeCell ref="P79:P80"/>
    <mergeCell ref="AC79:AC80"/>
    <mergeCell ref="AD79:AD80"/>
    <mergeCell ref="AE79:AE80"/>
    <mergeCell ref="AF79:AF80"/>
    <mergeCell ref="AG79:AG80"/>
    <mergeCell ref="AH79:AH80"/>
    <mergeCell ref="W79:W80"/>
    <mergeCell ref="X79:X80"/>
    <mergeCell ref="Y79:Y80"/>
    <mergeCell ref="Z79:Z80"/>
    <mergeCell ref="AA79:AA80"/>
    <mergeCell ref="AB79:AB80"/>
    <mergeCell ref="A85:B85"/>
    <mergeCell ref="A86:B87"/>
    <mergeCell ref="C86:C87"/>
    <mergeCell ref="D86:D87"/>
    <mergeCell ref="E86:E87"/>
    <mergeCell ref="F86:F87"/>
    <mergeCell ref="AU79:AU80"/>
    <mergeCell ref="AV79:AV80"/>
    <mergeCell ref="A81:B81"/>
    <mergeCell ref="A82:B82"/>
    <mergeCell ref="A83:B83"/>
    <mergeCell ref="A84:B84"/>
    <mergeCell ref="AO79:AO80"/>
    <mergeCell ref="AP79:AP80"/>
    <mergeCell ref="AQ79:AQ80"/>
    <mergeCell ref="AR79:AR80"/>
    <mergeCell ref="AS79:AS80"/>
    <mergeCell ref="AT79:AT80"/>
    <mergeCell ref="AI79:AI80"/>
    <mergeCell ref="AJ79:AJ80"/>
    <mergeCell ref="AK79:AK80"/>
    <mergeCell ref="AL79:AL80"/>
    <mergeCell ref="AM79:AM80"/>
    <mergeCell ref="AN79:AN80"/>
    <mergeCell ref="Y86:Y87"/>
    <mergeCell ref="Z86:Z87"/>
    <mergeCell ref="AU86:AU87"/>
    <mergeCell ref="AV86:AV87"/>
    <mergeCell ref="A88:B88"/>
    <mergeCell ref="A89:B89"/>
    <mergeCell ref="S86:S87"/>
    <mergeCell ref="T86:T87"/>
    <mergeCell ref="U86:U87"/>
    <mergeCell ref="V86:V87"/>
    <mergeCell ref="W86:W87"/>
    <mergeCell ref="X86:X87"/>
    <mergeCell ref="M86:M87"/>
    <mergeCell ref="N86:N87"/>
    <mergeCell ref="O86:O87"/>
    <mergeCell ref="P86:P87"/>
    <mergeCell ref="Q86:Q87"/>
    <mergeCell ref="R86:R87"/>
    <mergeCell ref="G86:G87"/>
    <mergeCell ref="H86:H87"/>
    <mergeCell ref="I86:I87"/>
    <mergeCell ref="J86:J87"/>
    <mergeCell ref="K86:K87"/>
    <mergeCell ref="L86:L87"/>
    <mergeCell ref="E93:E94"/>
    <mergeCell ref="F93:F94"/>
    <mergeCell ref="G93:G94"/>
    <mergeCell ref="H93:H94"/>
    <mergeCell ref="I93:I94"/>
    <mergeCell ref="J93:J94"/>
    <mergeCell ref="A90:B90"/>
    <mergeCell ref="A91:B91"/>
    <mergeCell ref="A92:B92"/>
    <mergeCell ref="A93:B94"/>
    <mergeCell ref="C93:C94"/>
    <mergeCell ref="D93:D94"/>
    <mergeCell ref="Q93:Q94"/>
    <mergeCell ref="R93:R94"/>
    <mergeCell ref="S93:S94"/>
    <mergeCell ref="T93:T94"/>
    <mergeCell ref="U93:U94"/>
    <mergeCell ref="V93:V94"/>
    <mergeCell ref="K93:K94"/>
    <mergeCell ref="L93:L94"/>
    <mergeCell ref="M93:M94"/>
    <mergeCell ref="N93:N94"/>
    <mergeCell ref="O93:O94"/>
    <mergeCell ref="P93:P94"/>
    <mergeCell ref="AO93:AO94"/>
    <mergeCell ref="AP93:AP94"/>
    <mergeCell ref="AU93:AU94"/>
    <mergeCell ref="AV93:AV94"/>
    <mergeCell ref="A95:B95"/>
    <mergeCell ref="A96:B96"/>
    <mergeCell ref="AI93:AI94"/>
    <mergeCell ref="AJ93:AJ94"/>
    <mergeCell ref="AK93:AK94"/>
    <mergeCell ref="AL93:AL94"/>
    <mergeCell ref="AM93:AM94"/>
    <mergeCell ref="AN93:AN94"/>
    <mergeCell ref="AC93:AC94"/>
    <mergeCell ref="AD93:AD94"/>
    <mergeCell ref="AE93:AE94"/>
    <mergeCell ref="AF93:AF94"/>
    <mergeCell ref="AG93:AG94"/>
    <mergeCell ref="AH93:AH94"/>
    <mergeCell ref="W93:W94"/>
    <mergeCell ref="X93:X94"/>
    <mergeCell ref="Y93:Y94"/>
    <mergeCell ref="Z93:Z94"/>
    <mergeCell ref="AA93:AA94"/>
    <mergeCell ref="AB93:AB94"/>
    <mergeCell ref="E100:E101"/>
    <mergeCell ref="F100:F101"/>
    <mergeCell ref="G100:G101"/>
    <mergeCell ref="H100:H101"/>
    <mergeCell ref="I100:I101"/>
    <mergeCell ref="J100:J101"/>
    <mergeCell ref="A97:B97"/>
    <mergeCell ref="A98:B98"/>
    <mergeCell ref="A99:B99"/>
    <mergeCell ref="A100:B101"/>
    <mergeCell ref="C100:C101"/>
    <mergeCell ref="D100:D101"/>
    <mergeCell ref="Q100:Q101"/>
    <mergeCell ref="R100:R101"/>
    <mergeCell ref="S100:S101"/>
    <mergeCell ref="T100:T101"/>
    <mergeCell ref="U100:U101"/>
    <mergeCell ref="V100:V101"/>
    <mergeCell ref="K100:K101"/>
    <mergeCell ref="L100:L101"/>
    <mergeCell ref="M100:M101"/>
    <mergeCell ref="N100:N101"/>
    <mergeCell ref="O100:O101"/>
    <mergeCell ref="P100:P101"/>
    <mergeCell ref="AC100:AC101"/>
    <mergeCell ref="AD100:AD101"/>
    <mergeCell ref="AE100:AE101"/>
    <mergeCell ref="AF100:AF101"/>
    <mergeCell ref="AG100:AG101"/>
    <mergeCell ref="AH100:AH101"/>
    <mergeCell ref="W100:W101"/>
    <mergeCell ref="X100:X101"/>
    <mergeCell ref="Y100:Y101"/>
    <mergeCell ref="Z100:Z101"/>
    <mergeCell ref="AA100:AA101"/>
    <mergeCell ref="AB100:AB101"/>
    <mergeCell ref="A106:B106"/>
    <mergeCell ref="AU107:AU108"/>
    <mergeCell ref="AV107:AV108"/>
    <mergeCell ref="A108:B108"/>
    <mergeCell ref="A109:B109"/>
    <mergeCell ref="A111:B111"/>
    <mergeCell ref="AU100:AU101"/>
    <mergeCell ref="AV100:AV101"/>
    <mergeCell ref="A102:B102"/>
    <mergeCell ref="A103:B103"/>
    <mergeCell ref="A104:B104"/>
    <mergeCell ref="A105:B105"/>
    <mergeCell ref="AO100:AO101"/>
    <mergeCell ref="AP100:AP101"/>
    <mergeCell ref="AQ100:AQ101"/>
    <mergeCell ref="AR100:AR101"/>
    <mergeCell ref="AS100:AS101"/>
    <mergeCell ref="AT100:AT101"/>
    <mergeCell ref="AI100:AI101"/>
    <mergeCell ref="AJ100:AJ101"/>
    <mergeCell ref="AK100:AK101"/>
    <mergeCell ref="AL100:AL101"/>
    <mergeCell ref="AM100:AM101"/>
    <mergeCell ref="AN100:AN101"/>
    <mergeCell ref="A118:B118"/>
    <mergeCell ref="A119:B119"/>
    <mergeCell ref="A120:B120"/>
    <mergeCell ref="A121:B121"/>
    <mergeCell ref="A122:B122"/>
    <mergeCell ref="A112:B112"/>
    <mergeCell ref="A113:B113"/>
    <mergeCell ref="A114:B114"/>
    <mergeCell ref="A115:B115"/>
    <mergeCell ref="A116:B116"/>
    <mergeCell ref="A117:B117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132"/>
  <sheetViews>
    <sheetView topLeftCell="AH1" zoomScale="82" zoomScaleNormal="82" workbookViewId="0">
      <selection activeCell="AH1" sqref="A1:XFD1048576"/>
    </sheetView>
  </sheetViews>
  <sheetFormatPr defaultRowHeight="14.4"/>
  <cols>
    <col min="2" max="2" width="12.5546875" customWidth="1"/>
    <col min="3" max="3" width="13.6640625" hidden="1" customWidth="1"/>
    <col min="4" max="4" width="12.6640625" hidden="1" customWidth="1"/>
    <col min="5" max="5" width="14" hidden="1" customWidth="1"/>
    <col min="6" max="6" width="12.33203125" hidden="1" customWidth="1"/>
    <col min="7" max="7" width="12.5546875" hidden="1" customWidth="1"/>
    <col min="8" max="8" width="12.6640625" hidden="1" customWidth="1"/>
    <col min="9" max="9" width="14.109375" hidden="1" customWidth="1"/>
    <col min="10" max="10" width="14" hidden="1" customWidth="1"/>
    <col min="11" max="11" width="12.6640625" hidden="1" customWidth="1"/>
    <col min="12" max="12" width="13.88671875" hidden="1" customWidth="1"/>
    <col min="13" max="13" width="15.109375" hidden="1" customWidth="1"/>
    <col min="14" max="14" width="13.6640625" hidden="1" customWidth="1"/>
    <col min="15" max="15" width="13.109375" hidden="1" customWidth="1"/>
    <col min="16" max="16" width="13.88671875" hidden="1" customWidth="1"/>
    <col min="17" max="17" width="14.33203125" hidden="1" customWidth="1"/>
    <col min="18" max="18" width="14.44140625" hidden="1" customWidth="1"/>
    <col min="19" max="19" width="15" hidden="1" customWidth="1"/>
    <col min="20" max="20" width="13.33203125" hidden="1" customWidth="1"/>
    <col min="21" max="21" width="16" hidden="1" customWidth="1"/>
    <col min="22" max="22" width="13.109375" hidden="1" customWidth="1"/>
    <col min="23" max="23" width="13.33203125" hidden="1" customWidth="1"/>
    <col min="24" max="24" width="14.109375" hidden="1" customWidth="1"/>
    <col min="25" max="25" width="14.33203125" hidden="1" customWidth="1"/>
    <col min="26" max="26" width="13.33203125" hidden="1" customWidth="1"/>
    <col min="27" max="27" width="13.44140625" hidden="1" customWidth="1"/>
    <col min="28" max="28" width="12.5546875" hidden="1" customWidth="1"/>
    <col min="29" max="29" width="13.33203125" hidden="1" customWidth="1"/>
    <col min="30" max="30" width="14" hidden="1" customWidth="1"/>
    <col min="31" max="31" width="15.77734375" customWidth="1"/>
    <col min="32" max="34" width="14" customWidth="1"/>
    <col min="35" max="35" width="16" customWidth="1"/>
    <col min="36" max="38" width="14" customWidth="1"/>
    <col min="39" max="39" width="16" customWidth="1"/>
    <col min="40" max="42" width="14" customWidth="1"/>
    <col min="43" max="43" width="15.77734375" customWidth="1"/>
    <col min="44" max="44" width="17.44140625" customWidth="1"/>
    <col min="45" max="46" width="14" customWidth="1"/>
    <col min="47" max="47" width="10.33203125" customWidth="1"/>
    <col min="48" max="48" width="9.44140625" customWidth="1"/>
  </cols>
  <sheetData>
    <row r="1" spans="1:52">
      <c r="B1" s="93" t="s">
        <v>20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</row>
    <row r="2" spans="1:52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</row>
    <row r="3" spans="1:52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</row>
    <row r="4" spans="1:52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</row>
    <row r="5" spans="1:52">
      <c r="A5" s="95" t="s">
        <v>0</v>
      </c>
      <c r="B5" s="96"/>
      <c r="C5" s="101" t="s">
        <v>25</v>
      </c>
      <c r="D5" s="102"/>
      <c r="E5" s="101" t="s">
        <v>26</v>
      </c>
      <c r="F5" s="102"/>
      <c r="G5" s="101" t="s">
        <v>27</v>
      </c>
      <c r="H5" s="102"/>
      <c r="I5" s="101" t="s">
        <v>28</v>
      </c>
      <c r="J5" s="102"/>
      <c r="K5" s="101" t="s">
        <v>29</v>
      </c>
      <c r="L5" s="102"/>
      <c r="M5" s="101" t="s">
        <v>30</v>
      </c>
      <c r="N5" s="102"/>
      <c r="O5" s="101" t="s">
        <v>31</v>
      </c>
      <c r="P5" s="102"/>
      <c r="Q5" s="101" t="s">
        <v>32</v>
      </c>
      <c r="R5" s="102"/>
      <c r="S5" s="101" t="s">
        <v>33</v>
      </c>
      <c r="T5" s="102"/>
      <c r="U5" s="101" t="s">
        <v>34</v>
      </c>
      <c r="V5" s="102"/>
      <c r="W5" s="101" t="s">
        <v>35</v>
      </c>
      <c r="X5" s="102"/>
      <c r="Y5" s="101" t="s">
        <v>36</v>
      </c>
      <c r="Z5" s="102"/>
      <c r="AA5" s="101" t="s">
        <v>38</v>
      </c>
      <c r="AB5" s="115"/>
      <c r="AC5" s="105">
        <v>42736</v>
      </c>
      <c r="AD5" s="115"/>
      <c r="AE5" s="118">
        <v>43466</v>
      </c>
      <c r="AF5" s="106"/>
      <c r="AG5" s="106"/>
      <c r="AH5" s="107"/>
      <c r="AI5" s="105">
        <v>43831</v>
      </c>
      <c r="AJ5" s="106"/>
      <c r="AK5" s="106"/>
      <c r="AL5" s="107"/>
      <c r="AM5" s="105">
        <v>44197</v>
      </c>
      <c r="AN5" s="106"/>
      <c r="AO5" s="106"/>
      <c r="AP5" s="107"/>
      <c r="AQ5" s="105">
        <v>44287</v>
      </c>
      <c r="AR5" s="106"/>
      <c r="AS5" s="106"/>
      <c r="AT5" s="107"/>
      <c r="AU5" s="111" t="s">
        <v>6</v>
      </c>
      <c r="AV5" s="112"/>
    </row>
    <row r="6" spans="1:52">
      <c r="A6" s="97"/>
      <c r="B6" s="98"/>
      <c r="C6" s="103"/>
      <c r="D6" s="104"/>
      <c r="E6" s="103"/>
      <c r="F6" s="104"/>
      <c r="G6" s="103"/>
      <c r="H6" s="104"/>
      <c r="I6" s="103"/>
      <c r="J6" s="104"/>
      <c r="K6" s="103"/>
      <c r="L6" s="104"/>
      <c r="M6" s="103"/>
      <c r="N6" s="104"/>
      <c r="O6" s="103"/>
      <c r="P6" s="104"/>
      <c r="Q6" s="103"/>
      <c r="R6" s="104"/>
      <c r="S6" s="103"/>
      <c r="T6" s="104"/>
      <c r="U6" s="103"/>
      <c r="V6" s="104"/>
      <c r="W6" s="103"/>
      <c r="X6" s="104"/>
      <c r="Y6" s="103"/>
      <c r="Z6" s="104"/>
      <c r="AA6" s="116"/>
      <c r="AB6" s="117"/>
      <c r="AC6" s="116"/>
      <c r="AD6" s="117"/>
      <c r="AE6" s="108"/>
      <c r="AF6" s="109"/>
      <c r="AG6" s="109"/>
      <c r="AH6" s="110"/>
      <c r="AI6" s="108"/>
      <c r="AJ6" s="109"/>
      <c r="AK6" s="109"/>
      <c r="AL6" s="110"/>
      <c r="AM6" s="108"/>
      <c r="AN6" s="109"/>
      <c r="AO6" s="109"/>
      <c r="AP6" s="110"/>
      <c r="AQ6" s="108"/>
      <c r="AR6" s="109"/>
      <c r="AS6" s="109"/>
      <c r="AT6" s="110"/>
      <c r="AU6" s="113"/>
      <c r="AV6" s="114"/>
    </row>
    <row r="7" spans="1:52" ht="43.2">
      <c r="A7" s="99"/>
      <c r="B7" s="100"/>
      <c r="C7" s="11" t="s">
        <v>5</v>
      </c>
      <c r="D7" s="11" t="s">
        <v>12</v>
      </c>
      <c r="E7" s="11" t="s">
        <v>5</v>
      </c>
      <c r="F7" s="11" t="s">
        <v>12</v>
      </c>
      <c r="G7" s="11" t="s">
        <v>5</v>
      </c>
      <c r="H7" s="11" t="s">
        <v>12</v>
      </c>
      <c r="I7" s="11" t="s">
        <v>5</v>
      </c>
      <c r="J7" s="11" t="s">
        <v>12</v>
      </c>
      <c r="K7" s="11" t="s">
        <v>5</v>
      </c>
      <c r="L7" s="11" t="s">
        <v>12</v>
      </c>
      <c r="M7" s="11" t="s">
        <v>5</v>
      </c>
      <c r="N7" s="11" t="s">
        <v>12</v>
      </c>
      <c r="O7" s="11" t="s">
        <v>5</v>
      </c>
      <c r="P7" s="11" t="s">
        <v>12</v>
      </c>
      <c r="Q7" s="11" t="s">
        <v>5</v>
      </c>
      <c r="R7" s="11" t="s">
        <v>12</v>
      </c>
      <c r="S7" s="11" t="s">
        <v>5</v>
      </c>
      <c r="T7" s="11" t="s">
        <v>12</v>
      </c>
      <c r="U7" s="11" t="s">
        <v>5</v>
      </c>
      <c r="V7" s="11" t="s">
        <v>12</v>
      </c>
      <c r="W7" s="11" t="s">
        <v>5</v>
      </c>
      <c r="X7" s="11" t="s">
        <v>12</v>
      </c>
      <c r="Y7" s="11" t="s">
        <v>5</v>
      </c>
      <c r="Z7" s="11" t="s">
        <v>12</v>
      </c>
      <c r="AA7" s="17" t="s">
        <v>5</v>
      </c>
      <c r="AB7" s="11" t="s">
        <v>40</v>
      </c>
      <c r="AC7" s="24" t="s">
        <v>5</v>
      </c>
      <c r="AD7" s="24" t="s">
        <v>40</v>
      </c>
      <c r="AE7" s="24" t="s">
        <v>42</v>
      </c>
      <c r="AF7" s="24" t="s">
        <v>41</v>
      </c>
      <c r="AG7" s="24" t="s">
        <v>51</v>
      </c>
      <c r="AH7" s="24" t="s">
        <v>41</v>
      </c>
      <c r="AI7" s="24" t="s">
        <v>42</v>
      </c>
      <c r="AJ7" s="24" t="s">
        <v>41</v>
      </c>
      <c r="AK7" s="24" t="s">
        <v>51</v>
      </c>
      <c r="AL7" s="24" t="s">
        <v>41</v>
      </c>
      <c r="AM7" s="24" t="s">
        <v>42</v>
      </c>
      <c r="AN7" s="24" t="s">
        <v>41</v>
      </c>
      <c r="AO7" s="24" t="s">
        <v>51</v>
      </c>
      <c r="AP7" s="24" t="s">
        <v>41</v>
      </c>
      <c r="AQ7" s="24" t="s">
        <v>42</v>
      </c>
      <c r="AR7" s="24" t="s">
        <v>41</v>
      </c>
      <c r="AS7" s="24" t="s">
        <v>51</v>
      </c>
      <c r="AT7" s="24" t="s">
        <v>41</v>
      </c>
      <c r="AU7" s="24" t="s">
        <v>5</v>
      </c>
      <c r="AV7" s="24" t="s">
        <v>50</v>
      </c>
      <c r="AW7" s="49"/>
      <c r="AX7" s="49"/>
      <c r="AY7" s="49"/>
      <c r="AZ7" s="49"/>
    </row>
    <row r="8" spans="1:52">
      <c r="A8" s="133" t="s">
        <v>46</v>
      </c>
      <c r="B8" s="134"/>
      <c r="C8" s="119">
        <v>4339281.38</v>
      </c>
      <c r="D8" s="119">
        <v>301680.46000000002</v>
      </c>
      <c r="E8" s="119">
        <f t="shared" ref="E8:AD8" si="0">SUM(E10:E14)</f>
        <v>1585306.45</v>
      </c>
      <c r="F8" s="119">
        <f t="shared" si="0"/>
        <v>1801203.7999999998</v>
      </c>
      <c r="G8" s="119">
        <f t="shared" si="0"/>
        <v>1880710.93</v>
      </c>
      <c r="H8" s="119">
        <f t="shared" si="0"/>
        <v>1726285.8</v>
      </c>
      <c r="I8" s="119">
        <f t="shared" si="0"/>
        <v>2043940.37</v>
      </c>
      <c r="J8" s="119">
        <f t="shared" si="0"/>
        <v>1726285.8</v>
      </c>
      <c r="K8" s="119">
        <f t="shared" si="0"/>
        <v>1800545.93</v>
      </c>
      <c r="L8" s="119">
        <f t="shared" si="0"/>
        <v>1726285.8</v>
      </c>
      <c r="M8" s="119">
        <f t="shared" si="0"/>
        <v>1791783.17</v>
      </c>
      <c r="N8" s="119">
        <f t="shared" si="0"/>
        <v>1726285.8</v>
      </c>
      <c r="O8" s="119">
        <f t="shared" si="0"/>
        <v>1777486.53</v>
      </c>
      <c r="P8" s="119">
        <f t="shared" si="0"/>
        <v>1726285.8</v>
      </c>
      <c r="Q8" s="119">
        <f t="shared" si="0"/>
        <v>1764579</v>
      </c>
      <c r="R8" s="119">
        <f t="shared" si="0"/>
        <v>1726285.8</v>
      </c>
      <c r="S8" s="119">
        <f t="shared" si="0"/>
        <v>1758347.09</v>
      </c>
      <c r="T8" s="119">
        <f t="shared" si="0"/>
        <v>1726285.8</v>
      </c>
      <c r="U8" s="119">
        <f t="shared" si="0"/>
        <v>1761309.72</v>
      </c>
      <c r="V8" s="119">
        <f t="shared" si="0"/>
        <v>1726285.8</v>
      </c>
      <c r="W8" s="119">
        <f t="shared" si="0"/>
        <v>1748835.28</v>
      </c>
      <c r="X8" s="119">
        <f t="shared" si="0"/>
        <v>1726285.8</v>
      </c>
      <c r="Y8" s="119">
        <f t="shared" si="0"/>
        <v>1009374.5399999999</v>
      </c>
      <c r="Z8" s="119">
        <f t="shared" si="0"/>
        <v>1126468.53</v>
      </c>
      <c r="AA8" s="131">
        <f t="shared" si="0"/>
        <v>11386898.26</v>
      </c>
      <c r="AB8" s="131">
        <f t="shared" si="0"/>
        <v>8994676.1799999997</v>
      </c>
      <c r="AC8" s="131">
        <f t="shared" si="0"/>
        <v>3615198.68</v>
      </c>
      <c r="AD8" s="131">
        <f t="shared" si="0"/>
        <v>0</v>
      </c>
      <c r="AE8" s="121">
        <f>AE10+AE11+AE12+AE13+AE14</f>
        <v>42333749.980000004</v>
      </c>
      <c r="AF8" s="121">
        <v>0</v>
      </c>
      <c r="AG8" s="125">
        <v>0</v>
      </c>
      <c r="AH8" s="121">
        <v>0</v>
      </c>
      <c r="AI8" s="121">
        <f t="shared" ref="AI8:AT8" si="1">AI10+AI11+AI12+AI13+AI14</f>
        <v>8750479.9399999995</v>
      </c>
      <c r="AJ8" s="121">
        <f t="shared" si="1"/>
        <v>23845.269999999997</v>
      </c>
      <c r="AK8" s="121">
        <f t="shared" si="1"/>
        <v>571235</v>
      </c>
      <c r="AL8" s="121">
        <f t="shared" si="1"/>
        <v>571235</v>
      </c>
      <c r="AM8" s="121">
        <f t="shared" si="1"/>
        <v>354308.05</v>
      </c>
      <c r="AN8" s="121">
        <f t="shared" si="1"/>
        <v>325.33999999999997</v>
      </c>
      <c r="AO8" s="121">
        <f t="shared" si="1"/>
        <v>0</v>
      </c>
      <c r="AP8" s="121">
        <f t="shared" si="1"/>
        <v>0</v>
      </c>
      <c r="AQ8" s="121">
        <f t="shared" si="1"/>
        <v>10098397.52</v>
      </c>
      <c r="AR8" s="121">
        <f t="shared" si="1"/>
        <v>7690662.4500000002</v>
      </c>
      <c r="AS8" s="121">
        <f t="shared" si="1"/>
        <v>0</v>
      </c>
      <c r="AT8" s="121">
        <f t="shared" si="1"/>
        <v>0</v>
      </c>
      <c r="AU8" s="123">
        <f>AQ8/AM8-1</f>
        <v>27.501744513002173</v>
      </c>
      <c r="AV8" s="123" t="e">
        <f>AS8/AO8-1</f>
        <v>#DIV/0!</v>
      </c>
    </row>
    <row r="9" spans="1:52">
      <c r="A9" s="135"/>
      <c r="B9" s="136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32"/>
      <c r="AB9" s="132"/>
      <c r="AC9" s="132"/>
      <c r="AD9" s="132"/>
      <c r="AE9" s="122"/>
      <c r="AF9" s="122"/>
      <c r="AG9" s="126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4"/>
      <c r="AV9" s="124"/>
    </row>
    <row r="10" spans="1:52" ht="43.5" customHeight="1">
      <c r="A10" s="127" t="s">
        <v>10</v>
      </c>
      <c r="B10" s="128"/>
      <c r="C10" s="1"/>
      <c r="D10" s="1"/>
      <c r="E10" s="1"/>
      <c r="F10" s="1"/>
      <c r="G10" s="1">
        <f>1880710.93-1726285.8</f>
        <v>154425.12999999989</v>
      </c>
      <c r="H10" s="1"/>
      <c r="I10" s="1">
        <f>2043940.37-1726285.8</f>
        <v>317654.57000000007</v>
      </c>
      <c r="J10" s="1"/>
      <c r="K10" s="1">
        <f>1800545.93-1726285.8</f>
        <v>74260.129999999888</v>
      </c>
      <c r="L10" s="1"/>
      <c r="M10" s="1">
        <f>1791783.17-1726285.8</f>
        <v>65497.369999999879</v>
      </c>
      <c r="N10" s="1"/>
      <c r="O10" s="1">
        <f>1777486.53-1726285.8</f>
        <v>51200.729999999981</v>
      </c>
      <c r="P10" s="1"/>
      <c r="Q10" s="1">
        <v>38293.199999999997</v>
      </c>
      <c r="R10" s="1"/>
      <c r="S10" s="1"/>
      <c r="T10" s="1"/>
      <c r="U10" s="1"/>
      <c r="V10" s="1"/>
      <c r="W10" s="1"/>
      <c r="X10" s="1"/>
      <c r="Y10" s="1">
        <v>1195328.95</v>
      </c>
      <c r="Z10" s="1">
        <v>1126468.53</v>
      </c>
      <c r="AA10" s="19">
        <v>9260028.4399999995</v>
      </c>
      <c r="AB10" s="19">
        <v>8994676.1799999997</v>
      </c>
      <c r="AC10" s="19">
        <v>1203866.6499999999</v>
      </c>
      <c r="AD10" s="19"/>
      <c r="AE10" s="19">
        <f>416263.48+37900405.82+562292</f>
        <v>38878961.299999997</v>
      </c>
      <c r="AF10" s="19"/>
      <c r="AG10" s="19"/>
      <c r="AH10" s="19"/>
      <c r="AI10" s="19">
        <f>7760580.92-6672685.6</f>
        <v>1087895.3200000003</v>
      </c>
      <c r="AJ10" s="19">
        <v>18905.939999999999</v>
      </c>
      <c r="AK10" s="19">
        <v>571235</v>
      </c>
      <c r="AL10" s="19">
        <v>571235</v>
      </c>
      <c r="AM10" s="19">
        <v>157860.57999999999</v>
      </c>
      <c r="AN10" s="19">
        <v>325.33999999999997</v>
      </c>
      <c r="AO10" s="19"/>
      <c r="AP10" s="19">
        <v>0</v>
      </c>
      <c r="AQ10" s="19">
        <v>407918</v>
      </c>
      <c r="AR10" s="19">
        <v>1325.97</v>
      </c>
      <c r="AS10" s="19"/>
      <c r="AT10" s="19"/>
      <c r="AU10" s="33"/>
      <c r="AV10" s="33"/>
    </row>
    <row r="11" spans="1:52" ht="17.25" customHeight="1">
      <c r="A11" s="127" t="s">
        <v>7</v>
      </c>
      <c r="B11" s="128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9">
        <v>1010215.34</v>
      </c>
      <c r="AB11" s="19"/>
      <c r="AC11" s="19">
        <v>1531012.85</v>
      </c>
      <c r="AD11" s="19"/>
      <c r="AE11" s="19">
        <f>2206899.92+113179.6</f>
        <v>2320079.52</v>
      </c>
      <c r="AF11" s="19"/>
      <c r="AG11" s="19"/>
      <c r="AH11" s="19"/>
      <c r="AI11" s="19">
        <v>662186.56000000006</v>
      </c>
      <c r="AJ11" s="19"/>
      <c r="AK11" s="19"/>
      <c r="AL11" s="19"/>
      <c r="AM11" s="19"/>
      <c r="AN11" s="19"/>
      <c r="AO11" s="19"/>
      <c r="AP11" s="19"/>
      <c r="AQ11" s="19">
        <v>1454666.94</v>
      </c>
      <c r="AR11" s="19">
        <v>96666.12</v>
      </c>
      <c r="AS11" s="19"/>
      <c r="AT11" s="19"/>
      <c r="AU11" s="33"/>
      <c r="AV11" s="33"/>
    </row>
    <row r="12" spans="1:52" ht="40.200000000000003" customHeight="1">
      <c r="A12" s="127" t="s">
        <v>8</v>
      </c>
      <c r="B12" s="12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>
        <v>-16948.759999999998</v>
      </c>
      <c r="Z12" s="1"/>
      <c r="AA12" s="19">
        <v>1116654.48</v>
      </c>
      <c r="AB12" s="19"/>
      <c r="AC12" s="19">
        <v>880319.18</v>
      </c>
      <c r="AD12" s="19"/>
      <c r="AE12" s="19">
        <f>1078354.1</f>
        <v>1078354.1000000001</v>
      </c>
      <c r="AF12" s="19"/>
      <c r="AG12" s="19"/>
      <c r="AH12" s="19"/>
      <c r="AI12" s="19">
        <v>327712.46000000002</v>
      </c>
      <c r="AJ12" s="19">
        <v>4939.33</v>
      </c>
      <c r="AK12" s="19"/>
      <c r="AL12" s="19"/>
      <c r="AM12" s="19"/>
      <c r="AN12" s="19"/>
      <c r="AO12" s="19"/>
      <c r="AP12" s="19"/>
      <c r="AQ12" s="19">
        <v>684604.55</v>
      </c>
      <c r="AR12" s="19">
        <v>41462.33</v>
      </c>
      <c r="AS12" s="19"/>
      <c r="AT12" s="19"/>
      <c r="AU12" s="33"/>
      <c r="AV12" s="33"/>
    </row>
    <row r="13" spans="1:52">
      <c r="A13" s="127" t="s">
        <v>9</v>
      </c>
      <c r="B13" s="128"/>
      <c r="C13" s="1"/>
      <c r="D13" s="1"/>
      <c r="E13" s="1">
        <v>74918</v>
      </c>
      <c r="F13" s="1">
        <v>74918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>
        <v>-169005.65</v>
      </c>
      <c r="Z13" s="1"/>
      <c r="AA13" s="12"/>
      <c r="AB13" s="12"/>
      <c r="AC13" s="19"/>
      <c r="AD13" s="19"/>
      <c r="AE13" s="19">
        <v>56355.06</v>
      </c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33"/>
      <c r="AV13" s="33"/>
    </row>
    <row r="14" spans="1:52" ht="15.6" customHeight="1">
      <c r="A14" s="127" t="s">
        <v>14</v>
      </c>
      <c r="B14" s="128"/>
      <c r="C14" s="1"/>
      <c r="D14" s="1"/>
      <c r="E14" s="1">
        <v>1510388.45</v>
      </c>
      <c r="F14" s="1">
        <f>169005.65+1557280.15</f>
        <v>1726285.7999999998</v>
      </c>
      <c r="G14" s="1">
        <v>1726285.8</v>
      </c>
      <c r="H14" s="1">
        <v>1726285.8</v>
      </c>
      <c r="I14" s="1">
        <v>1726285.8</v>
      </c>
      <c r="J14" s="1">
        <v>1726285.8</v>
      </c>
      <c r="K14" s="1">
        <v>1726285.8</v>
      </c>
      <c r="L14" s="1">
        <v>1726285.8</v>
      </c>
      <c r="M14" s="1">
        <v>1726285.8</v>
      </c>
      <c r="N14" s="1">
        <v>1726285.8</v>
      </c>
      <c r="O14" s="1">
        <v>1726285.8</v>
      </c>
      <c r="P14" s="1">
        <v>1726285.8</v>
      </c>
      <c r="Q14" s="1">
        <v>1726285.8</v>
      </c>
      <c r="R14" s="1">
        <v>1726285.8</v>
      </c>
      <c r="S14" s="1">
        <v>1758347.09</v>
      </c>
      <c r="T14" s="1">
        <v>1726285.8</v>
      </c>
      <c r="U14" s="1">
        <v>1761309.72</v>
      </c>
      <c r="V14" s="1">
        <v>1726285.8</v>
      </c>
      <c r="W14" s="1">
        <v>1748835.28</v>
      </c>
      <c r="X14" s="1">
        <v>1726285.8</v>
      </c>
      <c r="Y14" s="1"/>
      <c r="Z14" s="1"/>
      <c r="AA14" s="12"/>
      <c r="AB14" s="12"/>
      <c r="AC14" s="19"/>
      <c r="AD14" s="19"/>
      <c r="AE14" s="19"/>
      <c r="AF14" s="19"/>
      <c r="AG14" s="19"/>
      <c r="AH14" s="19"/>
      <c r="AI14" s="19">
        <v>6672685.5999999996</v>
      </c>
      <c r="AJ14" s="19"/>
      <c r="AK14" s="19"/>
      <c r="AL14" s="19"/>
      <c r="AM14" s="19">
        <v>196447.47</v>
      </c>
      <c r="AN14" s="19"/>
      <c r="AO14" s="19"/>
      <c r="AP14" s="19"/>
      <c r="AQ14" s="19">
        <v>7551208.0300000003</v>
      </c>
      <c r="AR14" s="19">
        <v>7551208.0300000003</v>
      </c>
      <c r="AS14" s="19"/>
      <c r="AT14" s="19"/>
      <c r="AU14" s="33"/>
      <c r="AV14" s="33"/>
    </row>
    <row r="15" spans="1:52">
      <c r="A15" s="129" t="s">
        <v>49</v>
      </c>
      <c r="B15" s="130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7"/>
      <c r="AB15" s="37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68">
        <f>AM16+AM17+AM18+AM19+AM20</f>
        <v>156091.94</v>
      </c>
      <c r="AN15" s="38">
        <f>AN16+AN17+AN18+AN19+AN20</f>
        <v>0</v>
      </c>
      <c r="AO15" s="38">
        <f t="shared" ref="AO15:AP15" si="2">AO16+AO17+AO18+AO19+AO20</f>
        <v>0</v>
      </c>
      <c r="AP15" s="38">
        <f t="shared" si="2"/>
        <v>0</v>
      </c>
      <c r="AQ15" s="68">
        <f>AQ16+AQ17+AQ18+AQ19+AQ20</f>
        <v>994623.85</v>
      </c>
      <c r="AR15" s="68">
        <f>AR16+AR17+AR18+AR19+AR20</f>
        <v>0</v>
      </c>
      <c r="AS15" s="68">
        <f t="shared" ref="AS15:AT15" si="3">AS16+AS17+AS18+AS19+AS20</f>
        <v>0</v>
      </c>
      <c r="AT15" s="68">
        <f t="shared" si="3"/>
        <v>0</v>
      </c>
      <c r="AU15" s="72">
        <f>AQ15/AM15-1</f>
        <v>5.3720384921860793</v>
      </c>
      <c r="AV15" s="73" t="e">
        <f>AO15/AK15-1</f>
        <v>#DIV/0!</v>
      </c>
    </row>
    <row r="16" spans="1:52" ht="44.25" customHeight="1">
      <c r="A16" s="127" t="s">
        <v>10</v>
      </c>
      <c r="B16" s="128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7"/>
      <c r="AB16" s="37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>
        <v>141091.94</v>
      </c>
      <c r="AN16" s="38"/>
      <c r="AO16" s="38"/>
      <c r="AP16" s="38"/>
      <c r="AQ16" s="38">
        <v>243912.14</v>
      </c>
      <c r="AR16" s="38"/>
      <c r="AS16" s="38"/>
      <c r="AT16" s="38"/>
      <c r="AU16" s="73"/>
      <c r="AV16" s="73"/>
    </row>
    <row r="17" spans="1:48">
      <c r="A17" s="127" t="s">
        <v>7</v>
      </c>
      <c r="B17" s="128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7"/>
      <c r="AB17" s="37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>
        <v>511004.84</v>
      </c>
      <c r="AR17" s="19"/>
      <c r="AS17" s="38"/>
      <c r="AT17" s="38"/>
      <c r="AU17" s="73"/>
      <c r="AV17" s="73"/>
    </row>
    <row r="18" spans="1:48" ht="43.8" customHeight="1">
      <c r="A18" s="127" t="s">
        <v>8</v>
      </c>
      <c r="B18" s="128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7"/>
      <c r="AB18" s="37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>
        <v>224706.87</v>
      </c>
      <c r="AR18" s="74"/>
      <c r="AS18" s="38"/>
      <c r="AT18" s="38"/>
      <c r="AU18" s="73"/>
      <c r="AV18" s="73"/>
    </row>
    <row r="19" spans="1:48">
      <c r="A19" s="127" t="s">
        <v>9</v>
      </c>
      <c r="B19" s="128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7"/>
      <c r="AB19" s="37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>
        <v>15000</v>
      </c>
      <c r="AN19" s="38"/>
      <c r="AO19" s="38"/>
      <c r="AP19" s="38"/>
      <c r="AQ19" s="38"/>
      <c r="AR19" s="38"/>
      <c r="AS19" s="38"/>
      <c r="AT19" s="38"/>
      <c r="AU19" s="73"/>
      <c r="AV19" s="73"/>
    </row>
    <row r="20" spans="1:48">
      <c r="A20" s="127" t="s">
        <v>14</v>
      </c>
      <c r="B20" s="128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7"/>
      <c r="AB20" s="37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7"/>
      <c r="AN20" s="37"/>
      <c r="AO20" s="37"/>
      <c r="AP20" s="37"/>
      <c r="AQ20" s="38">
        <v>15000</v>
      </c>
      <c r="AR20" s="38"/>
      <c r="AS20" s="38"/>
      <c r="AT20" s="38"/>
      <c r="AU20" s="73"/>
      <c r="AV20" s="73"/>
    </row>
    <row r="21" spans="1:48">
      <c r="A21" s="129" t="s">
        <v>43</v>
      </c>
      <c r="B21" s="137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7"/>
      <c r="AB21" s="37"/>
      <c r="AC21" s="38"/>
      <c r="AD21" s="38"/>
      <c r="AE21" s="38"/>
      <c r="AF21" s="38"/>
      <c r="AG21" s="38"/>
      <c r="AH21" s="38"/>
      <c r="AI21" s="68">
        <f>AI22+AI23+AI24+AI25+AI26</f>
        <v>26697082.129999999</v>
      </c>
      <c r="AJ21" s="68">
        <f>AJ22+AJ23+AJ24+AJ25+AJ26</f>
        <v>0</v>
      </c>
      <c r="AK21" s="68">
        <f t="shared" ref="AK21:AL21" si="4">AK22+AK23+AK24+AK25+AK26</f>
        <v>0</v>
      </c>
      <c r="AL21" s="68">
        <f t="shared" si="4"/>
        <v>0</v>
      </c>
      <c r="AM21" s="68">
        <f>AM22+AM23+AM24+AM25+AM26</f>
        <v>7046213.1400000006</v>
      </c>
      <c r="AN21" s="68">
        <f>AN22+AN23+AN24+AN25+AN26</f>
        <v>0</v>
      </c>
      <c r="AO21" s="68">
        <f t="shared" ref="AO21:AP21" si="5">AO22+AO23+AO24+AO25+AO26</f>
        <v>0</v>
      </c>
      <c r="AP21" s="68">
        <f t="shared" si="5"/>
        <v>0</v>
      </c>
      <c r="AQ21" s="68">
        <f>AQ22+AQ23+AQ24+AQ25+AQ26</f>
        <v>8531201.1800000016</v>
      </c>
      <c r="AR21" s="68">
        <f>AR22+AR23+AR24+AR25+AR26</f>
        <v>0</v>
      </c>
      <c r="AS21" s="68">
        <f t="shared" ref="AS21:AT21" si="6">AS22+AS23+AS24+AS25+AS26</f>
        <v>0</v>
      </c>
      <c r="AT21" s="68">
        <f t="shared" si="6"/>
        <v>0</v>
      </c>
      <c r="AU21" s="72">
        <f>AQ21/AM21-1</f>
        <v>0.21074980425585044</v>
      </c>
      <c r="AV21" s="73" t="e">
        <f>AS21/AO21-1</f>
        <v>#DIV/0!</v>
      </c>
    </row>
    <row r="22" spans="1:48" ht="43.8" customHeight="1">
      <c r="A22" s="127" t="s">
        <v>10</v>
      </c>
      <c r="B22" s="128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7"/>
      <c r="AB22" s="37"/>
      <c r="AC22" s="38"/>
      <c r="AD22" s="38"/>
      <c r="AE22" s="38"/>
      <c r="AF22" s="38"/>
      <c r="AG22" s="38"/>
      <c r="AH22" s="38"/>
      <c r="AI22" s="38">
        <f>25203858.74+194052.76</f>
        <v>25397911.5</v>
      </c>
      <c r="AJ22" s="38">
        <v>0</v>
      </c>
      <c r="AK22" s="38"/>
      <c r="AL22" s="38"/>
      <c r="AM22" s="38">
        <v>6735942.4500000002</v>
      </c>
      <c r="AN22" s="38"/>
      <c r="AO22" s="38"/>
      <c r="AP22" s="38"/>
      <c r="AQ22" s="38">
        <v>8302282.7800000003</v>
      </c>
      <c r="AR22" s="38"/>
      <c r="AS22" s="38"/>
      <c r="AT22" s="38"/>
      <c r="AU22" s="72"/>
      <c r="AV22" s="73"/>
    </row>
    <row r="23" spans="1:48">
      <c r="A23" s="127" t="s">
        <v>7</v>
      </c>
      <c r="B23" s="128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/>
      <c r="AB23" s="37"/>
      <c r="AC23" s="38"/>
      <c r="AD23" s="38"/>
      <c r="AE23" s="38"/>
      <c r="AF23" s="38"/>
      <c r="AG23" s="38"/>
      <c r="AH23" s="38"/>
      <c r="AI23" s="38">
        <v>1250280.08</v>
      </c>
      <c r="AJ23" s="38"/>
      <c r="AK23" s="38"/>
      <c r="AL23" s="38"/>
      <c r="AM23" s="38">
        <v>209315.95</v>
      </c>
      <c r="AN23" s="68"/>
      <c r="AO23" s="68"/>
      <c r="AP23" s="38"/>
      <c r="AQ23" s="38">
        <v>184995.85</v>
      </c>
      <c r="AR23" s="38"/>
      <c r="AS23" s="38"/>
      <c r="AT23" s="38"/>
      <c r="AU23" s="72"/>
      <c r="AV23" s="73"/>
    </row>
    <row r="24" spans="1:48" ht="42.6" customHeight="1">
      <c r="A24" s="127" t="s">
        <v>8</v>
      </c>
      <c r="B24" s="128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7"/>
      <c r="AB24" s="37"/>
      <c r="AC24" s="38"/>
      <c r="AD24" s="38"/>
      <c r="AE24" s="38"/>
      <c r="AF24" s="38"/>
      <c r="AG24" s="38"/>
      <c r="AH24" s="38"/>
      <c r="AI24" s="38">
        <v>48890.55</v>
      </c>
      <c r="AJ24" s="38"/>
      <c r="AK24" s="38"/>
      <c r="AL24" s="38"/>
      <c r="AM24" s="38">
        <v>100954.74</v>
      </c>
      <c r="AN24" s="68"/>
      <c r="AO24" s="68"/>
      <c r="AP24" s="38"/>
      <c r="AQ24" s="38">
        <v>43922.55</v>
      </c>
      <c r="AR24" s="38"/>
      <c r="AS24" s="38"/>
      <c r="AT24" s="38"/>
      <c r="AU24" s="72"/>
      <c r="AV24" s="73"/>
    </row>
    <row r="25" spans="1:48">
      <c r="A25" s="127" t="s">
        <v>9</v>
      </c>
      <c r="B25" s="128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7"/>
      <c r="AB25" s="37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68"/>
      <c r="AO25" s="68"/>
      <c r="AP25" s="38"/>
      <c r="AQ25" s="38"/>
      <c r="AR25" s="38"/>
      <c r="AS25" s="38"/>
      <c r="AT25" s="38"/>
      <c r="AU25" s="72"/>
      <c r="AV25" s="73"/>
    </row>
    <row r="26" spans="1:48">
      <c r="A26" s="127" t="s">
        <v>14</v>
      </c>
      <c r="B26" s="128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7"/>
      <c r="AB26" s="37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68"/>
      <c r="AO26" s="68"/>
      <c r="AP26" s="38"/>
      <c r="AQ26" s="38"/>
      <c r="AR26" s="38"/>
      <c r="AS26" s="38"/>
      <c r="AT26" s="38"/>
      <c r="AU26" s="72"/>
      <c r="AV26" s="73"/>
    </row>
    <row r="27" spans="1:48">
      <c r="A27" s="129" t="s">
        <v>44</v>
      </c>
      <c r="B27" s="137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7"/>
      <c r="AB27" s="37"/>
      <c r="AC27" s="38"/>
      <c r="AD27" s="38"/>
      <c r="AE27" s="38"/>
      <c r="AF27" s="38"/>
      <c r="AG27" s="38"/>
      <c r="AH27" s="38"/>
      <c r="AI27" s="68">
        <f>AI28+AI29+AI30+AI31+AI32</f>
        <v>6637461.5299999993</v>
      </c>
      <c r="AJ27" s="68">
        <f t="shared" ref="AJ27:AL27" si="7">AJ28+AJ29+AJ30+AJ31+AJ32</f>
        <v>0</v>
      </c>
      <c r="AK27" s="68">
        <v>0</v>
      </c>
      <c r="AL27" s="68">
        <f t="shared" si="7"/>
        <v>0</v>
      </c>
      <c r="AM27" s="68">
        <f>AM28+AM29+AM30+AM31+AM32</f>
        <v>9950491.6699999981</v>
      </c>
      <c r="AN27" s="68">
        <f t="shared" ref="AN27:AT27" si="8">AN28+AN29+AN30+AN31+AN32</f>
        <v>7551208.0300000003</v>
      </c>
      <c r="AO27" s="68">
        <f t="shared" si="8"/>
        <v>0</v>
      </c>
      <c r="AP27" s="68">
        <f t="shared" si="8"/>
        <v>0</v>
      </c>
      <c r="AQ27" s="68">
        <f>AQ28+AQ29+AQ30+AQ31+AQ32</f>
        <v>10474796.219999999</v>
      </c>
      <c r="AR27" s="68">
        <f t="shared" si="8"/>
        <v>7551208.0300000003</v>
      </c>
      <c r="AS27" s="68">
        <f t="shared" si="8"/>
        <v>7551208.0300000003</v>
      </c>
      <c r="AT27" s="68">
        <f t="shared" si="8"/>
        <v>7551208.0300000003</v>
      </c>
      <c r="AU27" s="72">
        <f>AQ27/AM27-1</f>
        <v>5.2691320930476238E-2</v>
      </c>
      <c r="AV27" s="72" t="e">
        <f>AS27/AO27-1</f>
        <v>#DIV/0!</v>
      </c>
    </row>
    <row r="28" spans="1:48" ht="43.2" customHeight="1">
      <c r="A28" s="127" t="s">
        <v>10</v>
      </c>
      <c r="B28" s="128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7"/>
      <c r="AB28" s="37"/>
      <c r="AC28" s="38"/>
      <c r="AD28" s="38"/>
      <c r="AE28" s="38"/>
      <c r="AF28" s="38"/>
      <c r="AG28" s="38"/>
      <c r="AH28" s="38"/>
      <c r="AI28" s="38">
        <v>6054851.5499999998</v>
      </c>
      <c r="AJ28" s="38"/>
      <c r="AK28" s="38">
        <v>0</v>
      </c>
      <c r="AL28" s="38"/>
      <c r="AM28" s="38">
        <v>9699259.0299999993</v>
      </c>
      <c r="AN28" s="38">
        <v>7551208.0300000003</v>
      </c>
      <c r="AO28" s="38"/>
      <c r="AP28" s="38"/>
      <c r="AQ28" s="38">
        <v>10125158.699999999</v>
      </c>
      <c r="AR28" s="38">
        <v>7551208.0300000003</v>
      </c>
      <c r="AS28" s="38">
        <v>7551208.0300000003</v>
      </c>
      <c r="AT28" s="38">
        <v>7551208.0300000003</v>
      </c>
      <c r="AU28" s="73"/>
      <c r="AV28" s="73"/>
    </row>
    <row r="29" spans="1:48">
      <c r="A29" s="127" t="s">
        <v>7</v>
      </c>
      <c r="B29" s="128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7"/>
      <c r="AB29" s="37"/>
      <c r="AC29" s="38"/>
      <c r="AD29" s="38"/>
      <c r="AE29" s="38"/>
      <c r="AF29" s="38"/>
      <c r="AG29" s="38"/>
      <c r="AH29" s="38"/>
      <c r="AI29" s="38">
        <v>433698.23</v>
      </c>
      <c r="AJ29" s="38"/>
      <c r="AK29" s="38"/>
      <c r="AL29" s="38"/>
      <c r="AM29" s="38">
        <v>119374.78</v>
      </c>
      <c r="AN29" s="68"/>
      <c r="AO29" s="68"/>
      <c r="AP29" s="38"/>
      <c r="AQ29" s="38">
        <v>242230.51</v>
      </c>
      <c r="AR29" s="38"/>
      <c r="AS29" s="38"/>
      <c r="AT29" s="38"/>
      <c r="AU29" s="73"/>
      <c r="AV29" s="73"/>
    </row>
    <row r="30" spans="1:48" ht="44.4" customHeight="1">
      <c r="A30" s="127" t="s">
        <v>8</v>
      </c>
      <c r="B30" s="128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7"/>
      <c r="AB30" s="37"/>
      <c r="AC30" s="38"/>
      <c r="AD30" s="38"/>
      <c r="AE30" s="38"/>
      <c r="AF30" s="38"/>
      <c r="AG30" s="38"/>
      <c r="AH30" s="38"/>
      <c r="AI30" s="38">
        <v>148911.75</v>
      </c>
      <c r="AJ30" s="38"/>
      <c r="AK30" s="38"/>
      <c r="AL30" s="38"/>
      <c r="AM30" s="38">
        <v>131857.85999999999</v>
      </c>
      <c r="AN30" s="68"/>
      <c r="AO30" s="68"/>
      <c r="AP30" s="38"/>
      <c r="AQ30" s="38">
        <v>107407.01</v>
      </c>
      <c r="AR30" s="38"/>
      <c r="AS30" s="38"/>
      <c r="AT30" s="38"/>
      <c r="AU30" s="73"/>
      <c r="AV30" s="73"/>
    </row>
    <row r="31" spans="1:48">
      <c r="A31" s="127" t="s">
        <v>9</v>
      </c>
      <c r="B31" s="128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7"/>
      <c r="AB31" s="37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68"/>
      <c r="AO31" s="68"/>
      <c r="AP31" s="38"/>
      <c r="AQ31" s="38"/>
      <c r="AR31" s="38"/>
      <c r="AS31" s="38"/>
      <c r="AT31" s="38"/>
      <c r="AU31" s="73"/>
      <c r="AV31" s="73"/>
    </row>
    <row r="32" spans="1:48">
      <c r="A32" s="127" t="s">
        <v>14</v>
      </c>
      <c r="B32" s="128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7"/>
      <c r="AB32" s="37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68"/>
      <c r="AO32" s="68"/>
      <c r="AP32" s="38"/>
      <c r="AQ32" s="37"/>
      <c r="AR32" s="37"/>
      <c r="AS32" s="37"/>
      <c r="AT32" s="37"/>
      <c r="AU32" s="39"/>
      <c r="AV32" s="39"/>
    </row>
    <row r="33" spans="1:48">
      <c r="A33" s="129" t="s">
        <v>45</v>
      </c>
      <c r="B33" s="130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7"/>
      <c r="AB33" s="37"/>
      <c r="AC33" s="38"/>
      <c r="AD33" s="38"/>
      <c r="AE33" s="38"/>
      <c r="AF33" s="38"/>
      <c r="AG33" s="38"/>
      <c r="AH33" s="38"/>
      <c r="AI33" s="68">
        <f t="shared" ref="AI33:AT33" si="9">AI34+AI35+AI36+AI37+AI38</f>
        <v>397801.93</v>
      </c>
      <c r="AJ33" s="68">
        <f t="shared" si="9"/>
        <v>0</v>
      </c>
      <c r="AK33" s="68">
        <f t="shared" si="9"/>
        <v>0</v>
      </c>
      <c r="AL33" s="68">
        <f t="shared" si="9"/>
        <v>0</v>
      </c>
      <c r="AM33" s="68">
        <f t="shared" si="9"/>
        <v>1912.76</v>
      </c>
      <c r="AN33" s="68">
        <f t="shared" si="9"/>
        <v>0</v>
      </c>
      <c r="AO33" s="68">
        <f t="shared" si="9"/>
        <v>0</v>
      </c>
      <c r="AP33" s="68">
        <f t="shared" si="9"/>
        <v>0</v>
      </c>
      <c r="AQ33" s="68">
        <f t="shared" si="9"/>
        <v>535604.67000000004</v>
      </c>
      <c r="AR33" s="68">
        <f t="shared" si="9"/>
        <v>0</v>
      </c>
      <c r="AS33" s="68">
        <f t="shared" si="9"/>
        <v>0</v>
      </c>
      <c r="AT33" s="68">
        <f t="shared" si="9"/>
        <v>0</v>
      </c>
      <c r="AU33" s="72">
        <f>AQ33/AM33-1</f>
        <v>279.01666178715578</v>
      </c>
      <c r="AV33" s="72" t="e">
        <f>AS33/AO33-1</f>
        <v>#DIV/0!</v>
      </c>
    </row>
    <row r="34" spans="1:48" ht="43.8" customHeight="1">
      <c r="A34" s="127" t="s">
        <v>10</v>
      </c>
      <c r="B34" s="128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7"/>
      <c r="AB34" s="37"/>
      <c r="AC34" s="38"/>
      <c r="AD34" s="38"/>
      <c r="AE34" s="38"/>
      <c r="AF34" s="38"/>
      <c r="AG34" s="38"/>
      <c r="AH34" s="38"/>
      <c r="AI34" s="38">
        <v>14976.62</v>
      </c>
      <c r="AJ34" s="38"/>
      <c r="AK34" s="38"/>
      <c r="AL34" s="38"/>
      <c r="AM34" s="38">
        <v>1912.76</v>
      </c>
      <c r="AN34" s="38"/>
      <c r="AO34" s="68"/>
      <c r="AP34" s="68"/>
      <c r="AQ34" s="68">
        <v>2987</v>
      </c>
      <c r="AR34" s="68"/>
      <c r="AS34" s="68"/>
      <c r="AT34" s="68"/>
      <c r="AU34" s="73"/>
      <c r="AV34" s="73"/>
    </row>
    <row r="35" spans="1:48">
      <c r="A35" s="127" t="s">
        <v>7</v>
      </c>
      <c r="B35" s="128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7"/>
      <c r="AB35" s="37"/>
      <c r="AC35" s="38"/>
      <c r="AD35" s="38"/>
      <c r="AE35" s="38"/>
      <c r="AF35" s="38"/>
      <c r="AG35" s="38"/>
      <c r="AH35" s="38"/>
      <c r="AI35" s="38">
        <v>228134.86</v>
      </c>
      <c r="AJ35" s="38"/>
      <c r="AK35" s="38"/>
      <c r="AL35" s="38"/>
      <c r="AM35" s="37"/>
      <c r="AN35" s="40"/>
      <c r="AO35" s="40"/>
      <c r="AP35" s="40"/>
      <c r="AQ35" s="68">
        <v>361114.09</v>
      </c>
      <c r="AR35" s="68"/>
      <c r="AS35" s="68"/>
      <c r="AT35" s="68"/>
      <c r="AU35" s="73"/>
      <c r="AV35" s="73"/>
    </row>
    <row r="36" spans="1:48" ht="44.4" customHeight="1">
      <c r="A36" s="127" t="s">
        <v>8</v>
      </c>
      <c r="B36" s="128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7"/>
      <c r="AB36" s="37"/>
      <c r="AC36" s="38"/>
      <c r="AD36" s="38"/>
      <c r="AE36" s="38"/>
      <c r="AF36" s="38"/>
      <c r="AG36" s="38"/>
      <c r="AH36" s="38"/>
      <c r="AI36" s="38">
        <v>154690.45000000001</v>
      </c>
      <c r="AJ36" s="38"/>
      <c r="AK36" s="38"/>
      <c r="AL36" s="38"/>
      <c r="AM36" s="37"/>
      <c r="AN36" s="40"/>
      <c r="AO36" s="40"/>
      <c r="AP36" s="40"/>
      <c r="AQ36" s="68">
        <v>171503.58</v>
      </c>
      <c r="AR36" s="68"/>
      <c r="AS36" s="68"/>
      <c r="AT36" s="68"/>
      <c r="AU36" s="73"/>
      <c r="AV36" s="73"/>
    </row>
    <row r="37" spans="1:48">
      <c r="A37" s="127" t="s">
        <v>9</v>
      </c>
      <c r="B37" s="128"/>
      <c r="C37" s="67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7"/>
      <c r="AB37" s="37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7"/>
      <c r="AN37" s="40"/>
      <c r="AO37" s="40"/>
      <c r="AP37" s="40"/>
      <c r="AQ37" s="68"/>
      <c r="AR37" s="68"/>
      <c r="AS37" s="68"/>
      <c r="AT37" s="68"/>
      <c r="AU37" s="73"/>
      <c r="AV37" s="73"/>
    </row>
    <row r="38" spans="1:48">
      <c r="A38" s="127" t="s">
        <v>14</v>
      </c>
      <c r="B38" s="128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7"/>
      <c r="AB38" s="37"/>
      <c r="AC38" s="38"/>
      <c r="AD38" s="38"/>
      <c r="AE38" s="38"/>
      <c r="AF38" s="38"/>
      <c r="AG38" s="38"/>
      <c r="AH38" s="38"/>
      <c r="AI38" s="37"/>
      <c r="AJ38" s="37"/>
      <c r="AK38" s="37"/>
      <c r="AL38" s="37"/>
      <c r="AM38" s="40"/>
      <c r="AN38" s="40"/>
      <c r="AO38" s="40"/>
      <c r="AP38" s="40"/>
      <c r="AQ38" s="40"/>
      <c r="AR38" s="40"/>
      <c r="AS38" s="40"/>
      <c r="AT38" s="40"/>
      <c r="AU38" s="39"/>
      <c r="AV38" s="39"/>
    </row>
    <row r="39" spans="1:48">
      <c r="A39" s="129" t="s">
        <v>48</v>
      </c>
      <c r="B39" s="137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7"/>
      <c r="AB39" s="37"/>
      <c r="AC39" s="38"/>
      <c r="AD39" s="38"/>
      <c r="AE39" s="38"/>
      <c r="AF39" s="38"/>
      <c r="AG39" s="38"/>
      <c r="AH39" s="38"/>
      <c r="AI39" s="37"/>
      <c r="AJ39" s="37"/>
      <c r="AK39" s="37"/>
      <c r="AL39" s="37"/>
      <c r="AM39" s="68">
        <f t="shared" ref="AM39:AT39" si="10">AM40+AM41+AM42+AM43+AM44</f>
        <v>11098207.4</v>
      </c>
      <c r="AN39" s="68">
        <f t="shared" si="10"/>
        <v>0</v>
      </c>
      <c r="AO39" s="68">
        <f t="shared" si="10"/>
        <v>0</v>
      </c>
      <c r="AP39" s="68">
        <f t="shared" si="10"/>
        <v>0</v>
      </c>
      <c r="AQ39" s="68">
        <f t="shared" si="10"/>
        <v>10624513.290000001</v>
      </c>
      <c r="AR39" s="68">
        <f t="shared" si="10"/>
        <v>0</v>
      </c>
      <c r="AS39" s="68">
        <f t="shared" si="10"/>
        <v>0</v>
      </c>
      <c r="AT39" s="68">
        <f t="shared" si="10"/>
        <v>0</v>
      </c>
      <c r="AU39" s="72">
        <f>AQ39/AM39-1</f>
        <v>-4.268203800192083E-2</v>
      </c>
      <c r="AV39" s="73" t="e">
        <f>AS39/AO39-1</f>
        <v>#DIV/0!</v>
      </c>
    </row>
    <row r="40" spans="1:48" ht="43.2" customHeight="1">
      <c r="A40" s="127" t="s">
        <v>10</v>
      </c>
      <c r="B40" s="128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7"/>
      <c r="AB40" s="37"/>
      <c r="AC40" s="38"/>
      <c r="AD40" s="38"/>
      <c r="AE40" s="38"/>
      <c r="AF40" s="38"/>
      <c r="AG40" s="38"/>
      <c r="AH40" s="38"/>
      <c r="AI40" s="37"/>
      <c r="AJ40" s="37"/>
      <c r="AK40" s="37"/>
      <c r="AL40" s="37"/>
      <c r="AM40" s="38">
        <v>9947930.2799999993</v>
      </c>
      <c r="AN40" s="68"/>
      <c r="AO40" s="68"/>
      <c r="AP40" s="68"/>
      <c r="AQ40" s="68">
        <v>8994161.3399999999</v>
      </c>
      <c r="AR40" s="68"/>
      <c r="AS40" s="68"/>
      <c r="AT40" s="68"/>
      <c r="AU40" s="73"/>
      <c r="AV40" s="73"/>
    </row>
    <row r="41" spans="1:48">
      <c r="A41" s="127" t="s">
        <v>7</v>
      </c>
      <c r="B41" s="128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7"/>
      <c r="AB41" s="37"/>
      <c r="AC41" s="38"/>
      <c r="AD41" s="38"/>
      <c r="AE41" s="38"/>
      <c r="AF41" s="38"/>
      <c r="AG41" s="38"/>
      <c r="AH41" s="38"/>
      <c r="AI41" s="37"/>
      <c r="AJ41" s="37"/>
      <c r="AK41" s="37"/>
      <c r="AL41" s="37"/>
      <c r="AM41" s="38">
        <v>1001348.74</v>
      </c>
      <c r="AN41" s="68"/>
      <c r="AO41" s="68"/>
      <c r="AP41" s="68"/>
      <c r="AQ41" s="68">
        <v>1164602.8700000001</v>
      </c>
      <c r="AR41" s="68"/>
      <c r="AS41" s="68"/>
      <c r="AT41" s="68"/>
      <c r="AU41" s="73"/>
      <c r="AV41" s="73"/>
    </row>
    <row r="42" spans="1:48" ht="44.4" customHeight="1">
      <c r="A42" s="127" t="s">
        <v>8</v>
      </c>
      <c r="B42" s="128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7"/>
      <c r="AB42" s="37"/>
      <c r="AC42" s="38"/>
      <c r="AD42" s="38"/>
      <c r="AE42" s="38"/>
      <c r="AF42" s="38"/>
      <c r="AG42" s="38"/>
      <c r="AH42" s="38"/>
      <c r="AI42" s="37"/>
      <c r="AJ42" s="37"/>
      <c r="AK42" s="37"/>
      <c r="AL42" s="37"/>
      <c r="AM42" s="38">
        <v>148928.38</v>
      </c>
      <c r="AN42" s="68"/>
      <c r="AO42" s="68"/>
      <c r="AP42" s="68"/>
      <c r="AQ42" s="68">
        <v>465749.08</v>
      </c>
      <c r="AR42" s="68"/>
      <c r="AS42" s="68"/>
      <c r="AT42" s="68"/>
      <c r="AU42" s="73"/>
      <c r="AV42" s="73"/>
    </row>
    <row r="43" spans="1:48">
      <c r="A43" s="127" t="s">
        <v>9</v>
      </c>
      <c r="B43" s="128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7"/>
      <c r="AB43" s="37"/>
      <c r="AC43" s="38"/>
      <c r="AD43" s="38"/>
      <c r="AE43" s="38"/>
      <c r="AF43" s="38"/>
      <c r="AG43" s="38"/>
      <c r="AH43" s="38"/>
      <c r="AI43" s="37"/>
      <c r="AJ43" s="37"/>
      <c r="AK43" s="37"/>
      <c r="AL43" s="37"/>
      <c r="AM43" s="68"/>
      <c r="AN43" s="68"/>
      <c r="AO43" s="68"/>
      <c r="AP43" s="68"/>
      <c r="AQ43" s="68"/>
      <c r="AR43" s="68"/>
      <c r="AS43" s="68"/>
      <c r="AT43" s="68"/>
      <c r="AU43" s="73"/>
      <c r="AV43" s="73"/>
    </row>
    <row r="44" spans="1:48">
      <c r="A44" s="127" t="s">
        <v>14</v>
      </c>
      <c r="B44" s="128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7"/>
      <c r="AB44" s="37"/>
      <c r="AC44" s="38"/>
      <c r="AD44" s="38"/>
      <c r="AE44" s="38"/>
      <c r="AF44" s="38"/>
      <c r="AG44" s="38"/>
      <c r="AH44" s="38"/>
      <c r="AI44" s="37"/>
      <c r="AJ44" s="37"/>
      <c r="AK44" s="37"/>
      <c r="AL44" s="37"/>
      <c r="AM44" s="68"/>
      <c r="AN44" s="68"/>
      <c r="AO44" s="68"/>
      <c r="AP44" s="68"/>
      <c r="AQ44" s="40"/>
      <c r="AR44" s="40"/>
      <c r="AS44" s="40"/>
      <c r="AT44" s="40"/>
      <c r="AU44" s="39"/>
      <c r="AV44" s="39"/>
    </row>
    <row r="45" spans="1:48" ht="30" customHeight="1">
      <c r="A45" s="129" t="s">
        <v>47</v>
      </c>
      <c r="B45" s="130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7"/>
      <c r="AB45" s="37"/>
      <c r="AC45" s="38"/>
      <c r="AD45" s="38"/>
      <c r="AE45" s="38"/>
      <c r="AF45" s="38"/>
      <c r="AG45" s="38"/>
      <c r="AH45" s="38"/>
      <c r="AI45" s="37"/>
      <c r="AJ45" s="37"/>
      <c r="AK45" s="37"/>
      <c r="AL45" s="37"/>
      <c r="AM45" s="68">
        <f t="shared" ref="AM45:AT45" si="11">AM46+AM47+AM48+AM49+AM50</f>
        <v>197302.94999999998</v>
      </c>
      <c r="AN45" s="68">
        <f t="shared" si="11"/>
        <v>0</v>
      </c>
      <c r="AO45" s="68">
        <f t="shared" si="11"/>
        <v>0</v>
      </c>
      <c r="AP45" s="68">
        <f t="shared" si="11"/>
        <v>0</v>
      </c>
      <c r="AQ45" s="68">
        <f t="shared" si="11"/>
        <v>300164.56</v>
      </c>
      <c r="AR45" s="68">
        <f t="shared" si="11"/>
        <v>0</v>
      </c>
      <c r="AS45" s="68">
        <f t="shared" si="11"/>
        <v>0</v>
      </c>
      <c r="AT45" s="68">
        <f t="shared" si="11"/>
        <v>0</v>
      </c>
      <c r="AU45" s="72">
        <f>AQ45/AM45-1</f>
        <v>0.52133842905035133</v>
      </c>
      <c r="AV45" s="73" t="e">
        <f>AS45/AO45-1</f>
        <v>#DIV/0!</v>
      </c>
    </row>
    <row r="46" spans="1:48" ht="43.2" customHeight="1">
      <c r="A46" s="127" t="s">
        <v>10</v>
      </c>
      <c r="B46" s="128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7"/>
      <c r="AB46" s="37"/>
      <c r="AC46" s="38"/>
      <c r="AD46" s="38"/>
      <c r="AE46" s="38"/>
      <c r="AF46" s="38"/>
      <c r="AG46" s="38"/>
      <c r="AH46" s="38"/>
      <c r="AI46" s="37"/>
      <c r="AJ46" s="37"/>
      <c r="AK46" s="37"/>
      <c r="AL46" s="37"/>
      <c r="AM46" s="38">
        <v>11132.85</v>
      </c>
      <c r="AN46" s="38"/>
      <c r="AO46" s="38"/>
      <c r="AP46" s="38"/>
      <c r="AQ46" s="38">
        <v>69962</v>
      </c>
      <c r="AR46" s="38"/>
      <c r="AS46" s="38"/>
      <c r="AT46" s="38"/>
      <c r="AU46" s="73"/>
      <c r="AV46" s="73"/>
    </row>
    <row r="47" spans="1:48">
      <c r="A47" s="127" t="s">
        <v>7</v>
      </c>
      <c r="B47" s="128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7"/>
      <c r="AB47" s="37"/>
      <c r="AC47" s="38"/>
      <c r="AD47" s="38"/>
      <c r="AE47" s="38"/>
      <c r="AF47" s="38"/>
      <c r="AG47" s="38"/>
      <c r="AH47" s="38"/>
      <c r="AI47" s="37"/>
      <c r="AJ47" s="37"/>
      <c r="AK47" s="37"/>
      <c r="AL47" s="37"/>
      <c r="AM47" s="38">
        <v>123478.26</v>
      </c>
      <c r="AN47" s="38"/>
      <c r="AO47" s="38"/>
      <c r="AP47" s="38"/>
      <c r="AQ47" s="38">
        <v>169586.6</v>
      </c>
      <c r="AR47" s="38"/>
      <c r="AS47" s="38"/>
      <c r="AT47" s="38"/>
      <c r="AU47" s="73"/>
      <c r="AV47" s="73"/>
    </row>
    <row r="48" spans="1:48" ht="43.2" customHeight="1">
      <c r="A48" s="127" t="s">
        <v>8</v>
      </c>
      <c r="B48" s="128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7"/>
      <c r="AB48" s="37"/>
      <c r="AC48" s="38"/>
      <c r="AD48" s="38"/>
      <c r="AE48" s="38"/>
      <c r="AF48" s="38"/>
      <c r="AG48" s="38"/>
      <c r="AH48" s="38"/>
      <c r="AI48" s="37"/>
      <c r="AJ48" s="37"/>
      <c r="AK48" s="37"/>
      <c r="AL48" s="37"/>
      <c r="AM48" s="38">
        <v>62691.839999999997</v>
      </c>
      <c r="AN48" s="38"/>
      <c r="AO48" s="38"/>
      <c r="AP48" s="38"/>
      <c r="AQ48" s="38">
        <v>60615.96</v>
      </c>
      <c r="AR48" s="38"/>
      <c r="AS48" s="38"/>
      <c r="AT48" s="38"/>
      <c r="AU48" s="73"/>
      <c r="AV48" s="73"/>
    </row>
    <row r="49" spans="1:51">
      <c r="A49" s="127" t="s">
        <v>9</v>
      </c>
      <c r="B49" s="128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7"/>
      <c r="AB49" s="37"/>
      <c r="AC49" s="38"/>
      <c r="AD49" s="38"/>
      <c r="AE49" s="38"/>
      <c r="AF49" s="38"/>
      <c r="AG49" s="38"/>
      <c r="AH49" s="38"/>
      <c r="AI49" s="37"/>
      <c r="AJ49" s="37"/>
      <c r="AK49" s="37"/>
      <c r="AL49" s="37"/>
      <c r="AM49" s="38"/>
      <c r="AN49" s="38"/>
      <c r="AO49" s="38"/>
      <c r="AP49" s="38"/>
      <c r="AQ49" s="38"/>
      <c r="AR49" s="38"/>
      <c r="AS49" s="38"/>
      <c r="AT49" s="38"/>
      <c r="AU49" s="73"/>
      <c r="AV49" s="73"/>
    </row>
    <row r="50" spans="1:51">
      <c r="A50" s="127" t="s">
        <v>14</v>
      </c>
      <c r="B50" s="128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7"/>
      <c r="AB50" s="37"/>
      <c r="AC50" s="38"/>
      <c r="AD50" s="38"/>
      <c r="AE50" s="38"/>
      <c r="AF50" s="38"/>
      <c r="AG50" s="38"/>
      <c r="AH50" s="38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9"/>
      <c r="AV50" s="39"/>
    </row>
    <row r="51" spans="1:51">
      <c r="A51" s="139" t="s">
        <v>1</v>
      </c>
      <c r="B51" s="140"/>
      <c r="C51" s="138">
        <f>SUM(C53:C57)</f>
        <v>0</v>
      </c>
      <c r="D51" s="138">
        <f>SUM(D53:D57)</f>
        <v>0</v>
      </c>
      <c r="E51" s="138">
        <f t="shared" ref="E51:AD51" si="12">SUM(E53:E57)</f>
        <v>35747.5</v>
      </c>
      <c r="F51" s="138">
        <f t="shared" si="12"/>
        <v>0</v>
      </c>
      <c r="G51" s="138">
        <f t="shared" si="12"/>
        <v>0</v>
      </c>
      <c r="H51" s="138">
        <f t="shared" si="12"/>
        <v>0</v>
      </c>
      <c r="I51" s="138">
        <f t="shared" si="12"/>
        <v>0</v>
      </c>
      <c r="J51" s="138">
        <f t="shared" si="12"/>
        <v>0</v>
      </c>
      <c r="K51" s="138">
        <f t="shared" si="12"/>
        <v>120756.41</v>
      </c>
      <c r="L51" s="138">
        <f t="shared" si="12"/>
        <v>0</v>
      </c>
      <c r="M51" s="138">
        <f t="shared" si="12"/>
        <v>144077.24</v>
      </c>
      <c r="N51" s="138">
        <f t="shared" si="12"/>
        <v>0</v>
      </c>
      <c r="O51" s="138">
        <f t="shared" si="12"/>
        <v>122267.09</v>
      </c>
      <c r="P51" s="138">
        <f t="shared" si="12"/>
        <v>0</v>
      </c>
      <c r="Q51" s="138">
        <f t="shared" si="12"/>
        <v>81760.240000000005</v>
      </c>
      <c r="R51" s="138">
        <f t="shared" si="12"/>
        <v>0</v>
      </c>
      <c r="S51" s="138">
        <f t="shared" si="12"/>
        <v>68067.33</v>
      </c>
      <c r="T51" s="138">
        <f t="shared" si="12"/>
        <v>0</v>
      </c>
      <c r="U51" s="138">
        <f t="shared" si="12"/>
        <v>61711.68</v>
      </c>
      <c r="V51" s="138">
        <f t="shared" si="12"/>
        <v>0</v>
      </c>
      <c r="W51" s="138">
        <f t="shared" si="12"/>
        <v>0</v>
      </c>
      <c r="X51" s="138">
        <f t="shared" si="12"/>
        <v>0</v>
      </c>
      <c r="Y51" s="138">
        <f t="shared" si="12"/>
        <v>217.78</v>
      </c>
      <c r="Z51" s="138">
        <f t="shared" si="12"/>
        <v>0</v>
      </c>
      <c r="AA51" s="145">
        <f t="shared" si="12"/>
        <v>187710.37</v>
      </c>
      <c r="AB51" s="145">
        <f t="shared" si="12"/>
        <v>0</v>
      </c>
      <c r="AC51" s="145">
        <f t="shared" si="12"/>
        <v>333233.98</v>
      </c>
      <c r="AD51" s="145">
        <f t="shared" si="12"/>
        <v>0</v>
      </c>
      <c r="AE51" s="125">
        <f t="shared" ref="AE51:AT51" si="13">AE53+AE54+AE55+AE56+AE57</f>
        <v>797761.55</v>
      </c>
      <c r="AF51" s="125">
        <f t="shared" si="13"/>
        <v>0</v>
      </c>
      <c r="AG51" s="125">
        <v>0</v>
      </c>
      <c r="AH51" s="125">
        <f t="shared" si="13"/>
        <v>0</v>
      </c>
      <c r="AI51" s="125">
        <f t="shared" si="13"/>
        <v>177719.41</v>
      </c>
      <c r="AJ51" s="125">
        <f t="shared" si="13"/>
        <v>0</v>
      </c>
      <c r="AK51" s="125">
        <f t="shared" si="13"/>
        <v>0</v>
      </c>
      <c r="AL51" s="125">
        <f t="shared" si="13"/>
        <v>0</v>
      </c>
      <c r="AM51" s="125">
        <f t="shared" si="13"/>
        <v>37932.990000000005</v>
      </c>
      <c r="AN51" s="125">
        <f t="shared" si="13"/>
        <v>0</v>
      </c>
      <c r="AO51" s="125">
        <f t="shared" si="13"/>
        <v>0</v>
      </c>
      <c r="AP51" s="125">
        <f t="shared" si="13"/>
        <v>0</v>
      </c>
      <c r="AQ51" s="125">
        <f t="shared" si="13"/>
        <v>1158165.48</v>
      </c>
      <c r="AR51" s="125">
        <f t="shared" si="13"/>
        <v>0</v>
      </c>
      <c r="AS51" s="125">
        <f t="shared" si="13"/>
        <v>0</v>
      </c>
      <c r="AT51" s="125">
        <f t="shared" si="13"/>
        <v>0</v>
      </c>
      <c r="AU51" s="123">
        <f>AQ51/AM51-1</f>
        <v>29.531879506466531</v>
      </c>
      <c r="AV51" s="123" t="e">
        <f>AS51/AO51-1</f>
        <v>#DIV/0!</v>
      </c>
    </row>
    <row r="52" spans="1:51">
      <c r="A52" s="141"/>
      <c r="B52" s="142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32"/>
      <c r="AB52" s="132"/>
      <c r="AC52" s="132"/>
      <c r="AD52" s="132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4"/>
      <c r="AV52" s="124"/>
    </row>
    <row r="53" spans="1:51" ht="43.2" customHeight="1">
      <c r="A53" s="127" t="s">
        <v>10</v>
      </c>
      <c r="B53" s="128"/>
      <c r="C53" s="2"/>
      <c r="D53" s="2"/>
      <c r="E53" s="2">
        <v>35747.5</v>
      </c>
      <c r="F53" s="2"/>
      <c r="G53" s="2"/>
      <c r="H53" s="2"/>
      <c r="I53" s="2"/>
      <c r="J53" s="2"/>
      <c r="K53" s="2">
        <v>120756.41</v>
      </c>
      <c r="L53" s="2"/>
      <c r="M53" s="2">
        <v>144077.24</v>
      </c>
      <c r="N53" s="2"/>
      <c r="O53" s="2">
        <v>122267.09</v>
      </c>
      <c r="P53" s="2"/>
      <c r="Q53" s="2">
        <v>67770.240000000005</v>
      </c>
      <c r="R53" s="2"/>
      <c r="S53" s="2">
        <f>65281.19+2786.14</f>
        <v>68067.33</v>
      </c>
      <c r="T53" s="2"/>
      <c r="U53" s="2">
        <v>61711.68</v>
      </c>
      <c r="V53" s="2"/>
      <c r="W53" s="2"/>
      <c r="X53" s="2"/>
      <c r="Y53" s="2">
        <v>217.78</v>
      </c>
      <c r="Z53" s="2"/>
      <c r="AA53" s="16">
        <v>35</v>
      </c>
      <c r="AB53" s="16"/>
      <c r="AC53" s="16">
        <f>27611.35+117602.07</f>
        <v>145213.42000000001</v>
      </c>
      <c r="AD53" s="13"/>
      <c r="AE53" s="16">
        <f>30567.15+190377.23</f>
        <v>220944.38</v>
      </c>
      <c r="AF53" s="16"/>
      <c r="AG53" s="16"/>
      <c r="AH53" s="16"/>
      <c r="AI53" s="16">
        <f>73933.92+103785.49</f>
        <v>177719.41</v>
      </c>
      <c r="AJ53" s="16"/>
      <c r="AK53" s="16"/>
      <c r="AL53" s="16"/>
      <c r="AM53" s="16">
        <f>5043.12+32889.87</f>
        <v>37932.990000000005</v>
      </c>
      <c r="AN53" s="16"/>
      <c r="AO53" s="16"/>
      <c r="AP53" s="16"/>
      <c r="AQ53" s="16">
        <f>4058.45+383475.75</f>
        <v>387534.2</v>
      </c>
      <c r="AR53" s="16"/>
      <c r="AS53" s="16"/>
      <c r="AT53" s="16"/>
      <c r="AU53" s="24"/>
      <c r="AV53" s="24"/>
    </row>
    <row r="54" spans="1:51">
      <c r="A54" s="127" t="s">
        <v>7</v>
      </c>
      <c r="B54" s="128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16">
        <v>172262.37</v>
      </c>
      <c r="AB54" s="16"/>
      <c r="AC54" s="16">
        <v>188020.56</v>
      </c>
      <c r="AD54" s="13"/>
      <c r="AE54" s="16">
        <v>372715</v>
      </c>
      <c r="AF54" s="16"/>
      <c r="AG54" s="16"/>
      <c r="AH54" s="16"/>
      <c r="AI54" s="13"/>
      <c r="AJ54" s="13"/>
      <c r="AK54" s="13"/>
      <c r="AL54" s="13"/>
      <c r="AM54" s="16"/>
      <c r="AN54" s="16"/>
      <c r="AO54" s="16"/>
      <c r="AP54" s="16"/>
      <c r="AQ54" s="16">
        <f>240807.5</f>
        <v>240807.5</v>
      </c>
      <c r="AR54" s="16"/>
      <c r="AS54" s="16"/>
      <c r="AT54" s="16"/>
      <c r="AU54" s="24"/>
      <c r="AV54" s="24"/>
    </row>
    <row r="55" spans="1:51" ht="43.8" customHeight="1">
      <c r="A55" s="127" t="s">
        <v>8</v>
      </c>
      <c r="B55" s="12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16"/>
      <c r="AB55" s="16"/>
      <c r="AC55" s="13"/>
      <c r="AD55" s="13"/>
      <c r="AE55" s="16"/>
      <c r="AF55" s="16"/>
      <c r="AG55" s="16"/>
      <c r="AH55" s="16"/>
      <c r="AI55" s="13"/>
      <c r="AJ55" s="13"/>
      <c r="AK55" s="13"/>
      <c r="AL55" s="13"/>
      <c r="AM55" s="13"/>
      <c r="AN55" s="13"/>
      <c r="AO55" s="13"/>
      <c r="AP55" s="13"/>
      <c r="AQ55" s="16">
        <f>118509.04+3752.54</f>
        <v>122261.57999999999</v>
      </c>
      <c r="AR55" s="16"/>
      <c r="AS55" s="16"/>
      <c r="AT55" s="16"/>
      <c r="AU55" s="24"/>
      <c r="AV55" s="24"/>
    </row>
    <row r="56" spans="1:51">
      <c r="A56" s="127" t="s">
        <v>9</v>
      </c>
      <c r="B56" s="128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>
        <v>13990</v>
      </c>
      <c r="R56" s="2"/>
      <c r="S56" s="2"/>
      <c r="T56" s="2"/>
      <c r="U56" s="2"/>
      <c r="V56" s="2"/>
      <c r="W56" s="2"/>
      <c r="X56" s="2"/>
      <c r="Y56" s="2"/>
      <c r="Z56" s="2"/>
      <c r="AA56" s="16">
        <v>15413</v>
      </c>
      <c r="AB56" s="16"/>
      <c r="AC56" s="13"/>
      <c r="AD56" s="13"/>
      <c r="AE56" s="16">
        <v>204102.17</v>
      </c>
      <c r="AF56" s="16"/>
      <c r="AG56" s="16"/>
      <c r="AH56" s="16"/>
      <c r="AI56" s="13"/>
      <c r="AJ56" s="13"/>
      <c r="AK56" s="13"/>
      <c r="AL56" s="13"/>
      <c r="AM56" s="13"/>
      <c r="AN56" s="13"/>
      <c r="AO56" s="13"/>
      <c r="AP56" s="13"/>
      <c r="AQ56" s="16"/>
      <c r="AR56" s="16"/>
      <c r="AS56" s="16"/>
      <c r="AT56" s="16"/>
      <c r="AU56" s="24"/>
      <c r="AV56" s="24"/>
    </row>
    <row r="57" spans="1:51">
      <c r="A57" s="127" t="s">
        <v>14</v>
      </c>
      <c r="B57" s="12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16"/>
      <c r="AB57" s="16"/>
      <c r="AC57" s="13"/>
      <c r="AD57" s="13"/>
      <c r="AE57" s="16"/>
      <c r="AF57" s="16"/>
      <c r="AG57" s="16"/>
      <c r="AH57" s="16"/>
      <c r="AI57" s="13"/>
      <c r="AJ57" s="13"/>
      <c r="AK57" s="13"/>
      <c r="AL57" s="13"/>
      <c r="AM57" s="13"/>
      <c r="AN57" s="13"/>
      <c r="AO57" s="13"/>
      <c r="AP57" s="13"/>
      <c r="AQ57" s="16">
        <v>407562.2</v>
      </c>
      <c r="AR57" s="16"/>
      <c r="AS57" s="16"/>
      <c r="AT57" s="16"/>
      <c r="AU57" s="24"/>
      <c r="AV57" s="24"/>
    </row>
    <row r="58" spans="1:51">
      <c r="A58" s="139" t="s">
        <v>2</v>
      </c>
      <c r="B58" s="140"/>
      <c r="C58" s="138">
        <v>54846675.530000001</v>
      </c>
      <c r="D58" s="138">
        <v>48940486.590000004</v>
      </c>
      <c r="E58" s="138">
        <f>SUM(E60:E64)</f>
        <v>64656891.350000001</v>
      </c>
      <c r="F58" s="138">
        <f>SUM(F60:F64)</f>
        <v>51440732.669999994</v>
      </c>
      <c r="G58" s="138">
        <f t="shared" ref="G58:AD58" si="14">SUM(G60:G64)</f>
        <v>69207433.140000001</v>
      </c>
      <c r="H58" s="138">
        <f t="shared" si="14"/>
        <v>50454846.649999999</v>
      </c>
      <c r="I58" s="138">
        <f t="shared" si="14"/>
        <v>70742852.230000004</v>
      </c>
      <c r="J58" s="138">
        <f t="shared" si="14"/>
        <v>55024116.890000001</v>
      </c>
      <c r="K58" s="138">
        <f t="shared" si="14"/>
        <v>70605066.099999994</v>
      </c>
      <c r="L58" s="138">
        <f t="shared" si="14"/>
        <v>57943952.730000004</v>
      </c>
      <c r="M58" s="138">
        <f t="shared" si="14"/>
        <v>73371785.549999997</v>
      </c>
      <c r="N58" s="138">
        <f t="shared" si="14"/>
        <v>57519633.82</v>
      </c>
      <c r="O58" s="138">
        <f t="shared" si="14"/>
        <v>69857012.25</v>
      </c>
      <c r="P58" s="138">
        <f t="shared" si="14"/>
        <v>65548817.789999999</v>
      </c>
      <c r="Q58" s="138">
        <f t="shared" si="14"/>
        <v>71509757.569999993</v>
      </c>
      <c r="R58" s="138">
        <f t="shared" si="14"/>
        <v>57862859.439999998</v>
      </c>
      <c r="S58" s="138">
        <f t="shared" si="14"/>
        <v>71486946.959999993</v>
      </c>
      <c r="T58" s="138">
        <f t="shared" si="14"/>
        <v>57789918.439999998</v>
      </c>
      <c r="U58" s="138">
        <f t="shared" si="14"/>
        <v>70592079.479999989</v>
      </c>
      <c r="V58" s="138">
        <f t="shared" si="14"/>
        <v>61579945.239999995</v>
      </c>
      <c r="W58" s="138">
        <f t="shared" si="14"/>
        <v>66866461.460000001</v>
      </c>
      <c r="X58" s="138">
        <f t="shared" si="14"/>
        <v>57735277.960000001</v>
      </c>
      <c r="Y58" s="138">
        <f t="shared" si="14"/>
        <v>103038065.23999999</v>
      </c>
      <c r="Z58" s="138">
        <f t="shared" si="14"/>
        <v>90836160.789999992</v>
      </c>
      <c r="AA58" s="145">
        <f t="shared" si="14"/>
        <v>56387437.119999997</v>
      </c>
      <c r="AB58" s="145">
        <f t="shared" si="14"/>
        <v>15533763.189999999</v>
      </c>
      <c r="AC58" s="145">
        <f t="shared" si="14"/>
        <v>119943838.53</v>
      </c>
      <c r="AD58" s="145">
        <f t="shared" si="14"/>
        <v>72448338.349999994</v>
      </c>
      <c r="AE58" s="125">
        <f t="shared" ref="AE58:AT58" si="15">AE60+AE61+AE62+AE63+AE64</f>
        <v>63217359.389999993</v>
      </c>
      <c r="AF58" s="125">
        <f t="shared" si="15"/>
        <v>27862807.449999999</v>
      </c>
      <c r="AG58" s="125">
        <f t="shared" si="15"/>
        <v>9411597.2899999991</v>
      </c>
      <c r="AH58" s="125">
        <f t="shared" si="15"/>
        <v>0</v>
      </c>
      <c r="AI58" s="125">
        <f t="shared" si="15"/>
        <v>49786014.659999996</v>
      </c>
      <c r="AJ58" s="125">
        <f t="shared" si="15"/>
        <v>26173821.319999997</v>
      </c>
      <c r="AK58" s="125">
        <f t="shared" si="15"/>
        <v>381120</v>
      </c>
      <c r="AL58" s="125">
        <f t="shared" si="15"/>
        <v>0</v>
      </c>
      <c r="AM58" s="148">
        <f t="shared" si="15"/>
        <v>39873417.130000003</v>
      </c>
      <c r="AN58" s="148">
        <f t="shared" si="15"/>
        <v>22688071.109999999</v>
      </c>
      <c r="AO58" s="148">
        <f t="shared" si="15"/>
        <v>0</v>
      </c>
      <c r="AP58" s="148">
        <f t="shared" si="15"/>
        <v>0</v>
      </c>
      <c r="AQ58" s="148">
        <f t="shared" si="15"/>
        <v>53706349.06000001</v>
      </c>
      <c r="AR58" s="148">
        <f t="shared" si="15"/>
        <v>25040012.529999997</v>
      </c>
      <c r="AS58" s="148">
        <f t="shared" si="15"/>
        <v>0</v>
      </c>
      <c r="AT58" s="148">
        <f t="shared" si="15"/>
        <v>0</v>
      </c>
      <c r="AU58" s="163">
        <f>AQ58/AM58-1</f>
        <v>0.34692115513702415</v>
      </c>
      <c r="AV58" s="163" t="e">
        <f>AS58/AO58-1</f>
        <v>#DIV/0!</v>
      </c>
    </row>
    <row r="59" spans="1:51">
      <c r="A59" s="141"/>
      <c r="B59" s="142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32"/>
      <c r="AB59" s="132"/>
      <c r="AC59" s="132"/>
      <c r="AD59" s="132"/>
      <c r="AE59" s="126"/>
      <c r="AF59" s="126"/>
      <c r="AG59" s="126"/>
      <c r="AH59" s="126"/>
      <c r="AI59" s="126"/>
      <c r="AJ59" s="126"/>
      <c r="AK59" s="126"/>
      <c r="AL59" s="126"/>
      <c r="AM59" s="149"/>
      <c r="AN59" s="149"/>
      <c r="AO59" s="149"/>
      <c r="AP59" s="149"/>
      <c r="AQ59" s="149"/>
      <c r="AR59" s="149"/>
      <c r="AS59" s="149"/>
      <c r="AT59" s="149"/>
      <c r="AU59" s="164"/>
      <c r="AV59" s="164"/>
    </row>
    <row r="60" spans="1:51" ht="42" customHeight="1">
      <c r="A60" s="127" t="s">
        <v>10</v>
      </c>
      <c r="B60" s="128"/>
      <c r="C60" s="2"/>
      <c r="D60" s="2"/>
      <c r="E60" s="2">
        <v>10110055.9</v>
      </c>
      <c r="F60" s="2">
        <f>51442088.62-49312861.59</f>
        <v>2129227.0299999937</v>
      </c>
      <c r="G60" s="2">
        <v>10146692.35</v>
      </c>
      <c r="H60" s="2">
        <v>2129227.0299999998</v>
      </c>
      <c r="I60" s="2">
        <v>14616479.76</v>
      </c>
      <c r="J60" s="2">
        <v>2129227.0299999998</v>
      </c>
      <c r="K60" s="2">
        <v>7843217.96</v>
      </c>
      <c r="L60" s="2">
        <v>2129227.0299999998</v>
      </c>
      <c r="M60" s="2">
        <v>7533070</v>
      </c>
      <c r="N60" s="2">
        <v>2129227.0299999998</v>
      </c>
      <c r="O60" s="2">
        <v>6652443.1100000003</v>
      </c>
      <c r="P60" s="2">
        <v>2344248.65</v>
      </c>
      <c r="Q60" s="2">
        <f>8677372.77+42645.25</f>
        <v>8720018.0199999996</v>
      </c>
      <c r="R60" s="2">
        <f>2344248.65</f>
        <v>2344248.65</v>
      </c>
      <c r="S60" s="2">
        <f>69747.65+9218096.72</f>
        <v>9287844.370000001</v>
      </c>
      <c r="T60" s="2">
        <v>2271307.65</v>
      </c>
      <c r="U60" s="2">
        <f>94170.06+10964271.83</f>
        <v>11058441.890000001</v>
      </c>
      <c r="V60" s="2">
        <f>2046307.65</f>
        <v>2046307.65</v>
      </c>
      <c r="W60" s="2">
        <f>11194823.81+98358.34</f>
        <v>11293182.15</v>
      </c>
      <c r="X60" s="2">
        <f>2161998.65</f>
        <v>2161998.65</v>
      </c>
      <c r="Y60" s="2">
        <v>13594212.15</v>
      </c>
      <c r="Z60" s="2">
        <v>4751435.4800000004</v>
      </c>
      <c r="AA60" s="16">
        <f>77325.12+12375433.35</f>
        <v>12452758.469999999</v>
      </c>
      <c r="AB60" s="16">
        <v>1634678.03</v>
      </c>
      <c r="AC60" s="16">
        <f>263374.33+25371454.14</f>
        <v>25634828.469999999</v>
      </c>
      <c r="AD60" s="16">
        <v>7111498.0199999996</v>
      </c>
      <c r="AE60" s="16">
        <f>58898.5+5757823.28+84105.04+8232493.31</f>
        <v>14133320.129999999</v>
      </c>
      <c r="AF60" s="16">
        <f>58898.5+84105.04</f>
        <v>143003.53999999998</v>
      </c>
      <c r="AG60" s="16">
        <v>1077110.1399999999</v>
      </c>
      <c r="AH60" s="16"/>
      <c r="AI60" s="16">
        <f>6666650.33+5624949.78</f>
        <v>12291600.109999999</v>
      </c>
      <c r="AJ60" s="16">
        <f>35741.07+67278.18</f>
        <v>103019.25</v>
      </c>
      <c r="AK60" s="16"/>
      <c r="AL60" s="16"/>
      <c r="AM60" s="41">
        <f>37948.57+4413208.13+100915.2+4535014.6</f>
        <v>9087086.5</v>
      </c>
      <c r="AN60" s="41">
        <f>37948.57+100915.2</f>
        <v>138863.76999999999</v>
      </c>
      <c r="AO60" s="41"/>
      <c r="AP60" s="41"/>
      <c r="AQ60" s="41">
        <f>36247.66+5254320.3+95935.88+9128817.63</f>
        <v>14515321.470000001</v>
      </c>
      <c r="AR60" s="41">
        <f>36247.66+95935.88</f>
        <v>132183.54</v>
      </c>
      <c r="AS60" s="41"/>
      <c r="AT60" s="41"/>
      <c r="AU60" s="77"/>
      <c r="AV60" s="77"/>
      <c r="AY60" s="29"/>
    </row>
    <row r="61" spans="1:51">
      <c r="A61" s="127" t="s">
        <v>7</v>
      </c>
      <c r="B61" s="128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16">
        <f>774524.11+20097533.72</f>
        <v>20872057.829999998</v>
      </c>
      <c r="AB61" s="16"/>
      <c r="AC61" s="16">
        <f>815882.11+24539657.77</f>
        <v>25355539.879999999</v>
      </c>
      <c r="AD61" s="16"/>
      <c r="AE61" s="16">
        <f>6636427.13+2761581.99+10175763.76+5190667.21</f>
        <v>24764440.090000004</v>
      </c>
      <c r="AF61" s="16">
        <f>6636427.13+10175763.76</f>
        <v>16812190.890000001</v>
      </c>
      <c r="AG61" s="16"/>
      <c r="AH61" s="16"/>
      <c r="AI61" s="16">
        <f>7952572.92+13599050.19</f>
        <v>21551623.109999999</v>
      </c>
      <c r="AJ61" s="16">
        <f>6844713.26+9282998.62</f>
        <v>16127711.879999999</v>
      </c>
      <c r="AK61" s="16"/>
      <c r="AL61" s="16"/>
      <c r="AM61" s="41">
        <f>5886637.22+1343938.79+9504699.42+3891041.08</f>
        <v>20626316.509999998</v>
      </c>
      <c r="AN61" s="41">
        <f>5886637.22+9504699.42</f>
        <v>15391336.640000001</v>
      </c>
      <c r="AO61" s="41"/>
      <c r="AP61" s="41"/>
      <c r="AQ61" s="41">
        <f>5857453.71+2991767.7+11899042.15+6549067.6</f>
        <v>27297331.160000004</v>
      </c>
      <c r="AR61" s="41">
        <f>5857453.71+11899042.15</f>
        <v>17756495.859999999</v>
      </c>
      <c r="AS61" s="41"/>
      <c r="AT61" s="41"/>
      <c r="AU61" s="77"/>
      <c r="AV61" s="77"/>
    </row>
    <row r="62" spans="1:51" ht="43.8" customHeight="1">
      <c r="A62" s="127" t="s">
        <v>8</v>
      </c>
      <c r="B62" s="128"/>
      <c r="C62" s="2"/>
      <c r="D62" s="2"/>
      <c r="E62" s="2">
        <v>4317281.3899999997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>
        <v>3356790.95</v>
      </c>
      <c r="Z62" s="2"/>
      <c r="AA62" s="16">
        <f>511757.59+6814505.62</f>
        <v>7326263.21</v>
      </c>
      <c r="AB62" s="16"/>
      <c r="AC62" s="16">
        <f>484038.54+11956133.92</f>
        <v>12440172.459999999</v>
      </c>
      <c r="AD62" s="16">
        <v>10626588</v>
      </c>
      <c r="AE62" s="16">
        <f>4846101.83+2549979.72+3834472.6+2522828.53</f>
        <v>13753382.68</v>
      </c>
      <c r="AF62" s="16">
        <f>4846101.83+3834472.6</f>
        <v>8680574.4299999997</v>
      </c>
      <c r="AG62" s="16"/>
      <c r="AH62" s="16"/>
      <c r="AI62" s="16">
        <f>7445909.28+7217099.4</f>
        <v>14663008.68</v>
      </c>
      <c r="AJ62" s="16">
        <f>4719696.68+4376171.99</f>
        <v>9095868.6699999999</v>
      </c>
      <c r="AK62" s="16"/>
      <c r="AL62" s="16"/>
      <c r="AM62" s="41">
        <f>3432978.14+381958.57+3074157.21+2597939.85</f>
        <v>9487033.7699999996</v>
      </c>
      <c r="AN62" s="41">
        <f>3432978.14+3074157.21</f>
        <v>6507135.3499999996</v>
      </c>
      <c r="AO62" s="41"/>
      <c r="AP62" s="41"/>
      <c r="AQ62" s="41">
        <f>369709.58+1658207.28+6724761.53+3084156.02</f>
        <v>11836834.41</v>
      </c>
      <c r="AR62" s="41">
        <f>369709.58+6724761.53</f>
        <v>7094471.1100000003</v>
      </c>
      <c r="AS62" s="41"/>
      <c r="AT62" s="41"/>
      <c r="AU62" s="77"/>
      <c r="AV62" s="77"/>
    </row>
    <row r="63" spans="1:51">
      <c r="A63" s="127" t="s">
        <v>9</v>
      </c>
      <c r="B63" s="128"/>
      <c r="C63" s="2"/>
      <c r="D63" s="2"/>
      <c r="E63" s="2">
        <v>50229554.060000002</v>
      </c>
      <c r="F63" s="2">
        <v>49311505.640000001</v>
      </c>
      <c r="G63" s="2">
        <f>54914409.14+4146331.65</f>
        <v>59060740.789999999</v>
      </c>
      <c r="H63" s="2">
        <f>4092516+44233103.62</f>
        <v>48325619.619999997</v>
      </c>
      <c r="I63" s="2">
        <f>4125519+52000853.47</f>
        <v>56126372.469999999</v>
      </c>
      <c r="J63" s="2">
        <f>4092516+48802373.86</f>
        <v>52894889.859999999</v>
      </c>
      <c r="K63" s="2">
        <f>4106722+58655126.14</f>
        <v>62761848.140000001</v>
      </c>
      <c r="L63" s="2">
        <f>4092516+51722209.7</f>
        <v>55814725.700000003</v>
      </c>
      <c r="M63" s="2">
        <f>3726327.65+62112387.9</f>
        <v>65838715.549999997</v>
      </c>
      <c r="N63" s="2">
        <f>51679075.14+3711331.65</f>
        <v>55390406.789999999</v>
      </c>
      <c r="O63" s="2">
        <f>3292052+59912517.14</f>
        <v>63204569.140000001</v>
      </c>
      <c r="P63" s="2">
        <f>3292052+59912517.14</f>
        <v>63204569.140000001</v>
      </c>
      <c r="Q63" s="2">
        <f>59493077.9+3296661.65</f>
        <v>62789739.549999997</v>
      </c>
      <c r="R63" s="2">
        <f>3296661.65+52221949.14</f>
        <v>55518610.789999999</v>
      </c>
      <c r="S63" s="2">
        <f>58887656.94+3311445.65</f>
        <v>62199102.589999996</v>
      </c>
      <c r="T63" s="2">
        <f>3296661.65+52221949.14</f>
        <v>55518610.789999999</v>
      </c>
      <c r="U63" s="2">
        <f>56222191.94+3311445.65</f>
        <v>59533637.589999996</v>
      </c>
      <c r="V63" s="2">
        <f>3311445.65+56222191.94</f>
        <v>59533637.589999996</v>
      </c>
      <c r="W63" s="2">
        <f>1281078.35+54292200.96</f>
        <v>55573279.310000002</v>
      </c>
      <c r="X63" s="2">
        <f>54292200.96+1281078.35</f>
        <v>55573279.310000002</v>
      </c>
      <c r="Y63" s="2">
        <v>55305512.479999997</v>
      </c>
      <c r="Z63" s="2">
        <v>55305512.479999997</v>
      </c>
      <c r="AA63" s="16">
        <v>12430432.640000001</v>
      </c>
      <c r="AB63" s="16">
        <v>12430432.640000001</v>
      </c>
      <c r="AC63" s="16">
        <v>19001954.52</v>
      </c>
      <c r="AD63" s="16">
        <v>19001954.52</v>
      </c>
      <c r="AE63" s="16">
        <f>2101880.84+3050643.64</f>
        <v>5152524.4800000004</v>
      </c>
      <c r="AF63" s="16"/>
      <c r="AG63" s="16">
        <f>2101856.09+3050642.64</f>
        <v>5152498.7300000004</v>
      </c>
      <c r="AH63" s="16"/>
      <c r="AI63" s="16">
        <f>197520+183600</f>
        <v>381120</v>
      </c>
      <c r="AJ63" s="16"/>
      <c r="AK63" s="16">
        <f>197520+183600</f>
        <v>381120</v>
      </c>
      <c r="AL63" s="16"/>
      <c r="AM63" s="41">
        <v>22245</v>
      </c>
      <c r="AN63" s="41"/>
      <c r="AO63" s="41"/>
      <c r="AP63" s="41"/>
      <c r="AQ63" s="41"/>
      <c r="AR63" s="41"/>
      <c r="AS63" s="41"/>
      <c r="AT63" s="41"/>
      <c r="AU63" s="77" t="s">
        <v>39</v>
      </c>
      <c r="AV63" s="77"/>
    </row>
    <row r="64" spans="1:51">
      <c r="A64" s="127" t="s">
        <v>14</v>
      </c>
      <c r="B64" s="128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>
        <v>30781549.66</v>
      </c>
      <c r="Z64" s="2">
        <v>30779212.829999998</v>
      </c>
      <c r="AA64" s="16">
        <f>3305399.51+525.46</f>
        <v>3305924.9699999997</v>
      </c>
      <c r="AB64" s="16">
        <v>1468652.52</v>
      </c>
      <c r="AC64" s="16">
        <f>37418429.35+92913.85</f>
        <v>37511343.200000003</v>
      </c>
      <c r="AD64" s="16">
        <v>35708297.810000002</v>
      </c>
      <c r="AE64" s="16">
        <f>5363159.41+45867.6+4665</f>
        <v>5413692.0099999998</v>
      </c>
      <c r="AF64" s="16">
        <f>45867.6+2181170.99</f>
        <v>2227038.5900000003</v>
      </c>
      <c r="AG64" s="16">
        <v>3181988.42</v>
      </c>
      <c r="AH64" s="16"/>
      <c r="AI64" s="16">
        <v>898662.76</v>
      </c>
      <c r="AJ64" s="16">
        <v>847221.52</v>
      </c>
      <c r="AK64" s="16"/>
      <c r="AL64" s="16"/>
      <c r="AM64" s="41">
        <v>650735.35</v>
      </c>
      <c r="AN64" s="41">
        <v>650735.35</v>
      </c>
      <c r="AO64" s="41"/>
      <c r="AP64" s="41"/>
      <c r="AQ64" s="41">
        <v>56862.02</v>
      </c>
      <c r="AR64" s="41">
        <v>56862.02</v>
      </c>
      <c r="AS64" s="41"/>
      <c r="AT64" s="41"/>
      <c r="AU64" s="77"/>
      <c r="AV64" s="77"/>
    </row>
    <row r="65" spans="1:48">
      <c r="A65" s="139" t="s">
        <v>3</v>
      </c>
      <c r="B65" s="140"/>
      <c r="C65" s="138">
        <v>-7680.14</v>
      </c>
      <c r="D65" s="138">
        <f>SUM(D67:D71)</f>
        <v>0</v>
      </c>
      <c r="E65" s="138">
        <f t="shared" ref="E65:AD65" si="16">SUM(E67:E71)</f>
        <v>0</v>
      </c>
      <c r="F65" s="138">
        <f t="shared" si="16"/>
        <v>0</v>
      </c>
      <c r="G65" s="138">
        <f t="shared" si="16"/>
        <v>114426.95</v>
      </c>
      <c r="H65" s="138">
        <f t="shared" si="16"/>
        <v>0</v>
      </c>
      <c r="I65" s="138">
        <f t="shared" si="16"/>
        <v>88290.77</v>
      </c>
      <c r="J65" s="138">
        <f t="shared" si="16"/>
        <v>0</v>
      </c>
      <c r="K65" s="138">
        <f t="shared" si="16"/>
        <v>51440.42</v>
      </c>
      <c r="L65" s="138">
        <f t="shared" si="16"/>
        <v>0</v>
      </c>
      <c r="M65" s="138">
        <f t="shared" si="16"/>
        <v>169857.58</v>
      </c>
      <c r="N65" s="138">
        <f t="shared" si="16"/>
        <v>0</v>
      </c>
      <c r="O65" s="138">
        <f t="shared" si="16"/>
        <v>77731.77</v>
      </c>
      <c r="P65" s="138">
        <f t="shared" si="16"/>
        <v>0</v>
      </c>
      <c r="Q65" s="138">
        <f t="shared" si="16"/>
        <v>55035.07</v>
      </c>
      <c r="R65" s="138">
        <f t="shared" si="16"/>
        <v>0</v>
      </c>
      <c r="S65" s="138">
        <f t="shared" si="16"/>
        <v>80513.679999999993</v>
      </c>
      <c r="T65" s="138">
        <f t="shared" si="16"/>
        <v>0</v>
      </c>
      <c r="U65" s="138">
        <f t="shared" si="16"/>
        <v>77945.259999999995</v>
      </c>
      <c r="V65" s="138">
        <f t="shared" si="16"/>
        <v>0</v>
      </c>
      <c r="W65" s="138">
        <f t="shared" si="16"/>
        <v>84064.9</v>
      </c>
      <c r="X65" s="138">
        <f t="shared" si="16"/>
        <v>0</v>
      </c>
      <c r="Y65" s="138">
        <f t="shared" si="16"/>
        <v>0</v>
      </c>
      <c r="Z65" s="138">
        <f t="shared" si="16"/>
        <v>0</v>
      </c>
      <c r="AA65" s="145">
        <f t="shared" si="16"/>
        <v>663721.94999999995</v>
      </c>
      <c r="AB65" s="145">
        <f t="shared" si="16"/>
        <v>0</v>
      </c>
      <c r="AC65" s="145">
        <f t="shared" si="16"/>
        <v>856387.40999999992</v>
      </c>
      <c r="AD65" s="145">
        <f t="shared" si="16"/>
        <v>0</v>
      </c>
      <c r="AE65" s="125">
        <f t="shared" ref="AE65:AT65" si="17">AE67+AE68+AE69+AE70+AE71</f>
        <v>1745805.9500000002</v>
      </c>
      <c r="AF65" s="125">
        <f t="shared" si="17"/>
        <v>0</v>
      </c>
      <c r="AG65" s="125">
        <v>0</v>
      </c>
      <c r="AH65" s="125">
        <f t="shared" si="17"/>
        <v>0</v>
      </c>
      <c r="AI65" s="125">
        <f t="shared" si="17"/>
        <v>732891.89999999991</v>
      </c>
      <c r="AJ65" s="125">
        <f t="shared" si="17"/>
        <v>0</v>
      </c>
      <c r="AK65" s="125">
        <f t="shared" si="17"/>
        <v>0</v>
      </c>
      <c r="AL65" s="125">
        <f t="shared" si="17"/>
        <v>0</v>
      </c>
      <c r="AM65" s="125">
        <f t="shared" si="17"/>
        <v>20734.93</v>
      </c>
      <c r="AN65" s="125">
        <f t="shared" si="17"/>
        <v>0</v>
      </c>
      <c r="AO65" s="125">
        <f t="shared" si="17"/>
        <v>0</v>
      </c>
      <c r="AP65" s="125">
        <f t="shared" si="17"/>
        <v>0</v>
      </c>
      <c r="AQ65" s="125">
        <f t="shared" si="17"/>
        <v>1469768.6800000002</v>
      </c>
      <c r="AR65" s="125">
        <f t="shared" si="17"/>
        <v>0</v>
      </c>
      <c r="AS65" s="125">
        <f t="shared" si="17"/>
        <v>0</v>
      </c>
      <c r="AT65" s="125">
        <f t="shared" si="17"/>
        <v>0</v>
      </c>
      <c r="AU65" s="123">
        <f>AQ65/AM65-1</f>
        <v>69.883705901105046</v>
      </c>
      <c r="AV65" s="123" t="e">
        <f>AS65/AO65-1</f>
        <v>#DIV/0!</v>
      </c>
    </row>
    <row r="66" spans="1:48">
      <c r="A66" s="141"/>
      <c r="B66" s="142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32"/>
      <c r="AB66" s="132"/>
      <c r="AC66" s="132"/>
      <c r="AD66" s="132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4"/>
      <c r="AV66" s="124"/>
    </row>
    <row r="67" spans="1:48" ht="42" customHeight="1">
      <c r="A67" s="127" t="s">
        <v>10</v>
      </c>
      <c r="B67" s="128"/>
      <c r="C67" s="2">
        <v>0</v>
      </c>
      <c r="D67" s="2"/>
      <c r="E67" s="2">
        <v>0</v>
      </c>
      <c r="F67" s="2"/>
      <c r="G67" s="2">
        <v>114426.95</v>
      </c>
      <c r="H67" s="2"/>
      <c r="I67" s="2">
        <v>88290.77</v>
      </c>
      <c r="J67" s="2"/>
      <c r="K67" s="2">
        <v>51440.42</v>
      </c>
      <c r="L67" s="2"/>
      <c r="M67" s="2">
        <v>169857.58</v>
      </c>
      <c r="N67" s="2"/>
      <c r="O67" s="2">
        <v>77731.77</v>
      </c>
      <c r="P67" s="2"/>
      <c r="Q67" s="2">
        <v>55035.07</v>
      </c>
      <c r="R67" s="2"/>
      <c r="S67" s="2">
        <v>80513.679999999993</v>
      </c>
      <c r="T67" s="2"/>
      <c r="U67" s="2">
        <v>77945.259999999995</v>
      </c>
      <c r="V67" s="2"/>
      <c r="W67" s="2">
        <v>84064.9</v>
      </c>
      <c r="X67" s="2"/>
      <c r="Y67" s="2"/>
      <c r="Z67" s="2"/>
      <c r="AA67" s="16">
        <v>4839.6099999999997</v>
      </c>
      <c r="AB67" s="16"/>
      <c r="AC67" s="16">
        <v>85242.16</v>
      </c>
      <c r="AD67" s="13"/>
      <c r="AE67" s="16">
        <f>72200.43+5275.44</f>
        <v>77475.87</v>
      </c>
      <c r="AF67" s="16"/>
      <c r="AG67" s="16"/>
      <c r="AH67" s="16"/>
      <c r="AI67" s="16">
        <f>8639.4+10796.51</f>
        <v>19435.91</v>
      </c>
      <c r="AJ67" s="16"/>
      <c r="AK67" s="16"/>
      <c r="AL67" s="16"/>
      <c r="AM67" s="16">
        <f>13609.88+7125.05</f>
        <v>20734.93</v>
      </c>
      <c r="AN67" s="16"/>
      <c r="AO67" s="16"/>
      <c r="AP67" s="16"/>
      <c r="AQ67" s="16">
        <f>216041.4+30690.35</f>
        <v>246731.75</v>
      </c>
      <c r="AR67" s="16"/>
      <c r="AS67" s="16"/>
      <c r="AT67" s="16"/>
      <c r="AU67" s="24"/>
      <c r="AV67" s="24"/>
    </row>
    <row r="68" spans="1:48">
      <c r="A68" s="127" t="s">
        <v>7</v>
      </c>
      <c r="B68" s="128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16">
        <v>446550.73</v>
      </c>
      <c r="AB68" s="16"/>
      <c r="AC68" s="16">
        <v>451706.16</v>
      </c>
      <c r="AD68" s="13"/>
      <c r="AE68" s="16">
        <f>696234.36+399212.22</f>
        <v>1095446.58</v>
      </c>
      <c r="AF68" s="16"/>
      <c r="AG68" s="16"/>
      <c r="AH68" s="16"/>
      <c r="AI68" s="16">
        <v>484362.5</v>
      </c>
      <c r="AJ68" s="16"/>
      <c r="AK68" s="16"/>
      <c r="AL68" s="16"/>
      <c r="AM68" s="16"/>
      <c r="AN68" s="16"/>
      <c r="AO68" s="16"/>
      <c r="AP68" s="16"/>
      <c r="AQ68" s="16">
        <f>429440.53+321426.03</f>
        <v>750866.56</v>
      </c>
      <c r="AR68" s="16"/>
      <c r="AS68" s="16"/>
      <c r="AT68" s="16"/>
      <c r="AU68" s="24"/>
      <c r="AV68" s="24"/>
    </row>
    <row r="69" spans="1:48" ht="43.2" customHeight="1">
      <c r="A69" s="127" t="s">
        <v>8</v>
      </c>
      <c r="B69" s="128"/>
      <c r="C69" s="2">
        <v>0</v>
      </c>
      <c r="D69" s="2"/>
      <c r="E69" s="2">
        <v>0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16"/>
      <c r="AB69" s="23"/>
      <c r="AC69" s="16">
        <v>319439.09000000003</v>
      </c>
      <c r="AD69" s="13"/>
      <c r="AE69" s="16">
        <f>340695.57+232187.93</f>
        <v>572883.5</v>
      </c>
      <c r="AF69" s="16"/>
      <c r="AG69" s="16"/>
      <c r="AH69" s="16"/>
      <c r="AI69" s="16">
        <v>229093.49</v>
      </c>
      <c r="AJ69" s="16"/>
      <c r="AK69" s="16"/>
      <c r="AL69" s="16"/>
      <c r="AM69" s="16"/>
      <c r="AN69" s="16"/>
      <c r="AO69" s="16"/>
      <c r="AP69" s="16"/>
      <c r="AQ69" s="16">
        <f>233437.68+163732.69</f>
        <v>397170.37</v>
      </c>
      <c r="AR69" s="16"/>
      <c r="AS69" s="16"/>
      <c r="AT69" s="16"/>
      <c r="AU69" s="24"/>
      <c r="AV69" s="24"/>
    </row>
    <row r="70" spans="1:48">
      <c r="A70" s="127" t="s">
        <v>9</v>
      </c>
      <c r="B70" s="128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16">
        <v>212331.61</v>
      </c>
      <c r="AB70" s="16"/>
      <c r="AC70" s="16"/>
      <c r="AD70" s="13"/>
      <c r="AE70" s="16"/>
      <c r="AF70" s="16"/>
      <c r="AG70" s="16"/>
      <c r="AH70" s="16"/>
      <c r="AI70" s="16"/>
      <c r="AJ70" s="16"/>
      <c r="AK70" s="16"/>
      <c r="AL70" s="16"/>
      <c r="AM70" s="13"/>
      <c r="AN70" s="13"/>
      <c r="AO70" s="13"/>
      <c r="AP70" s="13"/>
      <c r="AQ70" s="16"/>
      <c r="AR70" s="16"/>
      <c r="AS70" s="16"/>
      <c r="AT70" s="16"/>
      <c r="AU70" s="24"/>
      <c r="AV70" s="24"/>
    </row>
    <row r="71" spans="1:48">
      <c r="A71" s="127" t="s">
        <v>14</v>
      </c>
      <c r="B71" s="128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13"/>
      <c r="AB71" s="13"/>
      <c r="AC71" s="13"/>
      <c r="AD71" s="13"/>
      <c r="AE71" s="16"/>
      <c r="AF71" s="16"/>
      <c r="AG71" s="16"/>
      <c r="AH71" s="16"/>
      <c r="AI71" s="13"/>
      <c r="AJ71" s="13"/>
      <c r="AK71" s="13"/>
      <c r="AL71" s="13"/>
      <c r="AM71" s="13"/>
      <c r="AN71" s="13"/>
      <c r="AO71" s="13"/>
      <c r="AP71" s="13"/>
      <c r="AQ71" s="16">
        <v>75000</v>
      </c>
      <c r="AR71" s="16"/>
      <c r="AS71" s="16"/>
      <c r="AT71" s="16"/>
      <c r="AU71" s="24"/>
      <c r="AV71" s="24"/>
    </row>
    <row r="72" spans="1:48">
      <c r="A72" s="139" t="s">
        <v>16</v>
      </c>
      <c r="B72" s="140"/>
      <c r="C72" s="138">
        <v>24738.76</v>
      </c>
      <c r="D72" s="138">
        <f t="shared" ref="D72:Z72" si="18">SUM(D74:D78)</f>
        <v>0</v>
      </c>
      <c r="E72" s="138">
        <f t="shared" si="18"/>
        <v>162585.41</v>
      </c>
      <c r="F72" s="138">
        <f t="shared" si="18"/>
        <v>0</v>
      </c>
      <c r="G72" s="138">
        <f t="shared" si="18"/>
        <v>2836261.8599999994</v>
      </c>
      <c r="H72" s="138">
        <f t="shared" si="18"/>
        <v>179639.45</v>
      </c>
      <c r="I72" s="138">
        <f t="shared" si="18"/>
        <v>2968161.5</v>
      </c>
      <c r="J72" s="138">
        <f t="shared" si="18"/>
        <v>179639.45</v>
      </c>
      <c r="K72" s="138">
        <f t="shared" si="18"/>
        <v>3579888.6599999997</v>
      </c>
      <c r="L72" s="138">
        <f t="shared" si="18"/>
        <v>179639.45</v>
      </c>
      <c r="M72" s="138">
        <f t="shared" si="18"/>
        <v>2288254.44</v>
      </c>
      <c r="N72" s="138">
        <f t="shared" si="18"/>
        <v>179639.45</v>
      </c>
      <c r="O72" s="138">
        <f t="shared" si="18"/>
        <v>2699902.61</v>
      </c>
      <c r="P72" s="138">
        <f t="shared" si="18"/>
        <v>179639.45</v>
      </c>
      <c r="Q72" s="138">
        <f t="shared" si="18"/>
        <v>2782603.59</v>
      </c>
      <c r="R72" s="138">
        <f t="shared" si="18"/>
        <v>179639.45</v>
      </c>
      <c r="S72" s="138">
        <f t="shared" si="18"/>
        <v>2615855.7999999998</v>
      </c>
      <c r="T72" s="138">
        <f t="shared" si="18"/>
        <v>179639.45</v>
      </c>
      <c r="U72" s="138">
        <f t="shared" si="18"/>
        <v>2483055.5499999998</v>
      </c>
      <c r="V72" s="138">
        <f t="shared" si="18"/>
        <v>142806.04</v>
      </c>
      <c r="W72" s="138">
        <f t="shared" si="18"/>
        <v>2680559.16</v>
      </c>
      <c r="X72" s="138">
        <f t="shared" si="18"/>
        <v>142806.04</v>
      </c>
      <c r="Y72" s="138">
        <f t="shared" si="18"/>
        <v>79878.12999999999</v>
      </c>
      <c r="Z72" s="138">
        <f t="shared" si="18"/>
        <v>0</v>
      </c>
      <c r="AA72" s="145">
        <f>SUM(AA74:AA78)</f>
        <v>2592606.9299999997</v>
      </c>
      <c r="AB72" s="145">
        <f>SUM(AB74:AB78)</f>
        <v>0</v>
      </c>
      <c r="AC72" s="145">
        <f>SUM(AC74:AC78)</f>
        <v>4410926.9800000004</v>
      </c>
      <c r="AD72" s="145">
        <f>SUM(AD74:AD78)</f>
        <v>1508980.59</v>
      </c>
      <c r="AE72" s="125">
        <f t="shared" ref="AE72:AF72" si="19">AE74+AE75+AE76+AE77+AE78</f>
        <v>4401686.4800000004</v>
      </c>
      <c r="AF72" s="125">
        <f t="shared" si="19"/>
        <v>4300435.1999999993</v>
      </c>
      <c r="AG72" s="125">
        <v>0</v>
      </c>
      <c r="AH72" s="125">
        <v>0</v>
      </c>
      <c r="AI72" s="125">
        <f t="shared" ref="AI72:AT72" si="20">AI74+AI75+AI76+AI77+AI78</f>
        <v>5541568.0600000005</v>
      </c>
      <c r="AJ72" s="125">
        <f t="shared" si="20"/>
        <v>0</v>
      </c>
      <c r="AK72" s="125">
        <f>AK74+AK75+AK76+AK77+AK78</f>
        <v>0</v>
      </c>
      <c r="AL72" s="125">
        <f t="shared" si="20"/>
        <v>0</v>
      </c>
      <c r="AM72" s="150">
        <f t="shared" si="20"/>
        <v>4905226.87</v>
      </c>
      <c r="AN72" s="150">
        <f t="shared" si="20"/>
        <v>4859923.91</v>
      </c>
      <c r="AO72" s="150">
        <f t="shared" si="20"/>
        <v>0</v>
      </c>
      <c r="AP72" s="150">
        <f t="shared" si="20"/>
        <v>0</v>
      </c>
      <c r="AQ72" s="125">
        <f t="shared" si="20"/>
        <v>6158077.4099999992</v>
      </c>
      <c r="AR72" s="125">
        <f t="shared" si="20"/>
        <v>6110592.0899999999</v>
      </c>
      <c r="AS72" s="125">
        <f t="shared" si="20"/>
        <v>0</v>
      </c>
      <c r="AT72" s="125">
        <f t="shared" si="20"/>
        <v>0</v>
      </c>
      <c r="AU72" s="123">
        <f>AQ72/AM72-1</f>
        <v>0.25541133431816143</v>
      </c>
      <c r="AV72" s="123" t="e">
        <f>AS72/AO72-1</f>
        <v>#DIV/0!</v>
      </c>
    </row>
    <row r="73" spans="1:48">
      <c r="A73" s="141"/>
      <c r="B73" s="142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32"/>
      <c r="AB73" s="132"/>
      <c r="AC73" s="132"/>
      <c r="AD73" s="132"/>
      <c r="AE73" s="126"/>
      <c r="AF73" s="126"/>
      <c r="AG73" s="126"/>
      <c r="AH73" s="126"/>
      <c r="AI73" s="126"/>
      <c r="AJ73" s="126"/>
      <c r="AK73" s="126"/>
      <c r="AL73" s="126"/>
      <c r="AM73" s="151"/>
      <c r="AN73" s="151"/>
      <c r="AO73" s="151"/>
      <c r="AP73" s="151"/>
      <c r="AQ73" s="126"/>
      <c r="AR73" s="126"/>
      <c r="AS73" s="126"/>
      <c r="AT73" s="126"/>
      <c r="AU73" s="124"/>
      <c r="AV73" s="124"/>
    </row>
    <row r="74" spans="1:48" ht="43.2" customHeight="1">
      <c r="A74" s="127" t="s">
        <v>10</v>
      </c>
      <c r="B74" s="128"/>
      <c r="C74" s="2"/>
      <c r="D74" s="2"/>
      <c r="E74" s="2">
        <v>162585.41</v>
      </c>
      <c r="F74" s="2"/>
      <c r="G74" s="2">
        <f>410855.69+138863.03</f>
        <v>549718.72</v>
      </c>
      <c r="H74" s="2">
        <v>179639.45</v>
      </c>
      <c r="I74" s="2">
        <f>349786.74+482870.23</f>
        <v>832656.97</v>
      </c>
      <c r="J74" s="2">
        <v>179639.45</v>
      </c>
      <c r="K74" s="2">
        <f>325550.4+256894.84</f>
        <v>582445.24</v>
      </c>
      <c r="L74" s="2">
        <v>179639.45</v>
      </c>
      <c r="M74" s="2">
        <f>32098.35+367708.31</f>
        <v>399806.66</v>
      </c>
      <c r="N74" s="2">
        <v>179639.45</v>
      </c>
      <c r="O74" s="2">
        <f>19053.66+339996.73</f>
        <v>359050.38999999996</v>
      </c>
      <c r="P74" s="2">
        <v>179639.45</v>
      </c>
      <c r="Q74" s="2">
        <f>214101.64+184501.39</f>
        <v>398603.03</v>
      </c>
      <c r="R74" s="2">
        <v>179639.45</v>
      </c>
      <c r="S74" s="2">
        <f>293392.92+82646.26</f>
        <v>376039.18</v>
      </c>
      <c r="T74" s="2">
        <v>179639.45</v>
      </c>
      <c r="U74" s="2">
        <f>18347.3+293392.92</f>
        <v>311740.21999999997</v>
      </c>
      <c r="V74" s="2">
        <f>142806.04</f>
        <v>142806.04</v>
      </c>
      <c r="W74" s="2">
        <f>175124.05+248350.04</f>
        <v>423474.08999999997</v>
      </c>
      <c r="X74" s="2">
        <v>142806.04</v>
      </c>
      <c r="Y74" s="2">
        <v>99147.76</v>
      </c>
      <c r="Z74" s="2"/>
      <c r="AA74" s="16">
        <f>23731.53+27555.65</f>
        <v>51287.18</v>
      </c>
      <c r="AB74" s="16"/>
      <c r="AC74" s="16">
        <f>36698.81+43106.43</f>
        <v>79805.239999999991</v>
      </c>
      <c r="AD74" s="16"/>
      <c r="AE74" s="16">
        <f>54159.74+22819.27+80774.94</f>
        <v>157753.95000000001</v>
      </c>
      <c r="AF74" s="28">
        <f>54159.74+22819.27</f>
        <v>76979.009999999995</v>
      </c>
      <c r="AG74" s="16"/>
      <c r="AH74" s="16"/>
      <c r="AI74" s="16">
        <f>43925.96+153933.91+15985</f>
        <v>213844.87</v>
      </c>
      <c r="AJ74" s="16"/>
      <c r="AK74" s="16"/>
      <c r="AL74" s="16"/>
      <c r="AM74" s="23">
        <f>68648.13+19758.87+16981.5</f>
        <v>105388.5</v>
      </c>
      <c r="AN74" s="23">
        <f>68648.13+19758.87</f>
        <v>88407</v>
      </c>
      <c r="AO74" s="23">
        <v>0</v>
      </c>
      <c r="AP74" s="23"/>
      <c r="AQ74" s="16">
        <f>69564.03+233028.17+27641.62</f>
        <v>330233.82</v>
      </c>
      <c r="AR74" s="16">
        <f>69564.03+233028.17</f>
        <v>302592.2</v>
      </c>
      <c r="AS74" s="16"/>
      <c r="AT74" s="16"/>
      <c r="AU74" s="24"/>
      <c r="AV74" s="24"/>
    </row>
    <row r="75" spans="1:48">
      <c r="A75" s="127" t="s">
        <v>7</v>
      </c>
      <c r="B75" s="128"/>
      <c r="C75" s="2"/>
      <c r="D75" s="2"/>
      <c r="E75" s="2"/>
      <c r="F75" s="2"/>
      <c r="G75" s="2">
        <f>1280106.96+331142.71</f>
        <v>1611249.67</v>
      </c>
      <c r="H75" s="2"/>
      <c r="I75" s="2">
        <f>1112706.33+292125.54</f>
        <v>1404831.87</v>
      </c>
      <c r="J75" s="2"/>
      <c r="K75" s="2">
        <f>1664826.89+424726.47</f>
        <v>2089553.3599999999</v>
      </c>
      <c r="L75" s="2"/>
      <c r="M75" s="2">
        <v>1291836.76</v>
      </c>
      <c r="N75" s="2"/>
      <c r="O75" s="2">
        <f>336869.12+1006180.12</f>
        <v>1343049.24</v>
      </c>
      <c r="P75" s="2"/>
      <c r="Q75" s="2">
        <f>290310.2+1054801</f>
        <v>1345111.2</v>
      </c>
      <c r="R75" s="2"/>
      <c r="S75" s="2">
        <f>210412.6+1031728.18</f>
        <v>1242140.78</v>
      </c>
      <c r="T75" s="2"/>
      <c r="U75" s="2">
        <f>144677.62+1051908.03</f>
        <v>1196585.6499999999</v>
      </c>
      <c r="V75" s="2"/>
      <c r="W75" s="2">
        <f>257630.31+1025805.39</f>
        <v>1283435.7</v>
      </c>
      <c r="X75" s="2"/>
      <c r="Y75" s="2"/>
      <c r="Z75" s="2"/>
      <c r="AA75" s="16">
        <f>367554.1+1092399.95</f>
        <v>1459954.0499999998</v>
      </c>
      <c r="AB75" s="16"/>
      <c r="AC75" s="16">
        <f>413160.07+976030.95</f>
        <v>1389191.02</v>
      </c>
      <c r="AD75" s="16"/>
      <c r="AE75" s="16">
        <f>399497.7+11131.38+1854102.36</f>
        <v>2264731.44</v>
      </c>
      <c r="AF75" s="16">
        <f>399497.7+1854102.36</f>
        <v>2253600.06</v>
      </c>
      <c r="AG75" s="16"/>
      <c r="AH75" s="16"/>
      <c r="AI75" s="16">
        <f>399597.7+2840800+11081.38</f>
        <v>3251479.08</v>
      </c>
      <c r="AJ75" s="16"/>
      <c r="AK75" s="16"/>
      <c r="AL75" s="16"/>
      <c r="AM75" s="23">
        <f>399497.7+17529.95+2611285.51</f>
        <v>3028313.1599999997</v>
      </c>
      <c r="AN75" s="23">
        <f>399497.7+2611285.51</f>
        <v>3010783.21</v>
      </c>
      <c r="AO75" s="23"/>
      <c r="AP75" s="23"/>
      <c r="AQ75" s="16">
        <f>436372.53+12341.55+3093891.26</f>
        <v>3542605.34</v>
      </c>
      <c r="AR75" s="16">
        <f>436372.53+3093891.26</f>
        <v>3530263.79</v>
      </c>
      <c r="AS75" s="16"/>
      <c r="AT75" s="16"/>
      <c r="AU75" s="24"/>
      <c r="AV75" s="24"/>
    </row>
    <row r="76" spans="1:48" ht="43.8" customHeight="1">
      <c r="A76" s="127" t="s">
        <v>8</v>
      </c>
      <c r="B76" s="128"/>
      <c r="C76" s="2"/>
      <c r="D76" s="2"/>
      <c r="E76" s="2"/>
      <c r="F76" s="2"/>
      <c r="G76" s="2">
        <f>191330.96+483962.51</f>
        <v>675293.47</v>
      </c>
      <c r="H76" s="2"/>
      <c r="I76" s="2">
        <f>171605.74+559066.92</f>
        <v>730672.66</v>
      </c>
      <c r="J76" s="2"/>
      <c r="K76" s="2">
        <f>209944.24+697945.82</f>
        <v>907890.05999999994</v>
      </c>
      <c r="L76" s="2"/>
      <c r="M76" s="2">
        <v>596611.02</v>
      </c>
      <c r="N76" s="2"/>
      <c r="O76" s="2">
        <f>198862.88+580042.1</f>
        <v>778904.98</v>
      </c>
      <c r="P76" s="2"/>
      <c r="Q76" s="2">
        <f>612669.18+219338.18</f>
        <v>832007.3600000001</v>
      </c>
      <c r="R76" s="2"/>
      <c r="S76" s="2">
        <f>201317.46+630998.38</f>
        <v>832315.84</v>
      </c>
      <c r="T76" s="2"/>
      <c r="U76" s="2">
        <f>184341.93+601701.1</f>
        <v>786043.03</v>
      </c>
      <c r="V76" s="2"/>
      <c r="W76" s="2">
        <f>177715.19+604861.18</f>
        <v>782576.37000000011</v>
      </c>
      <c r="X76" s="2"/>
      <c r="Y76" s="2">
        <v>-9193.7999999999993</v>
      </c>
      <c r="Z76" s="2"/>
      <c r="AA76" s="16">
        <f>254861.86+627161.14</f>
        <v>882023</v>
      </c>
      <c r="AB76" s="16"/>
      <c r="AC76" s="16">
        <f>363441.69+1320113.41</f>
        <v>1683555.0999999999</v>
      </c>
      <c r="AD76" s="16">
        <f>20923.56+643955.03</f>
        <v>664878.59000000008</v>
      </c>
      <c r="AE76" s="16">
        <f>283794.68+8867.96+960334.11</f>
        <v>1252996.75</v>
      </c>
      <c r="AF76" s="16">
        <f>283794.68+960334.11</f>
        <v>1244128.79</v>
      </c>
      <c r="AG76" s="16"/>
      <c r="AH76" s="16"/>
      <c r="AI76" s="16">
        <f>257174.49+1213163.76+30859.57</f>
        <v>1501197.82</v>
      </c>
      <c r="AJ76" s="16"/>
      <c r="AK76" s="16"/>
      <c r="AL76" s="16"/>
      <c r="AM76" s="23">
        <f>158284.05+10791.51+1060420.11</f>
        <v>1229495.6700000002</v>
      </c>
      <c r="AN76" s="23">
        <f>158284.05+1060420.11</f>
        <v>1218704.1600000001</v>
      </c>
      <c r="AO76" s="23"/>
      <c r="AP76" s="23"/>
      <c r="AQ76" s="16">
        <f>238010.64+7502.15+1487182.91</f>
        <v>1732695.7</v>
      </c>
      <c r="AR76" s="16">
        <f>238010.64+1487182.91</f>
        <v>1725193.5499999998</v>
      </c>
      <c r="AS76" s="16"/>
      <c r="AT76" s="16"/>
      <c r="AU76" s="24"/>
      <c r="AV76" s="24"/>
    </row>
    <row r="77" spans="1:48">
      <c r="A77" s="127" t="s">
        <v>9</v>
      </c>
      <c r="B77" s="128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>
        <f>218898</f>
        <v>218898</v>
      </c>
      <c r="P77" s="2"/>
      <c r="Q77" s="2">
        <v>206882</v>
      </c>
      <c r="R77" s="2"/>
      <c r="S77" s="2">
        <v>165360</v>
      </c>
      <c r="T77" s="2"/>
      <c r="U77" s="2">
        <v>188686.65</v>
      </c>
      <c r="V77" s="2"/>
      <c r="W77" s="2">
        <f>191073</f>
        <v>191073</v>
      </c>
      <c r="X77" s="2"/>
      <c r="Y77" s="2">
        <v>-12759</v>
      </c>
      <c r="Z77" s="2"/>
      <c r="AA77" s="16"/>
      <c r="AB77" s="16"/>
      <c r="AC77" s="16"/>
      <c r="AD77" s="16"/>
      <c r="AE77" s="16">
        <f>92285.57+477</f>
        <v>92762.57</v>
      </c>
      <c r="AF77" s="16">
        <v>92285.57</v>
      </c>
      <c r="AG77" s="16"/>
      <c r="AH77" s="16"/>
      <c r="AI77" s="16">
        <f>119356.57+170</f>
        <v>119526.57</v>
      </c>
      <c r="AJ77" s="16"/>
      <c r="AK77" s="16"/>
      <c r="AL77" s="16"/>
      <c r="AM77" s="23">
        <v>64281.21</v>
      </c>
      <c r="AN77" s="23">
        <v>64281.21</v>
      </c>
      <c r="AO77" s="23"/>
      <c r="AP77" s="23"/>
      <c r="AQ77" s="16">
        <v>64517.21</v>
      </c>
      <c r="AR77" s="16">
        <v>64517.21</v>
      </c>
      <c r="AS77" s="16"/>
      <c r="AT77" s="16"/>
      <c r="AU77" s="24"/>
      <c r="AV77" s="24"/>
    </row>
    <row r="78" spans="1:48">
      <c r="A78" s="127" t="s">
        <v>14</v>
      </c>
      <c r="B78" s="128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>
        <v>2683.17</v>
      </c>
      <c r="Z78" s="2"/>
      <c r="AA78" s="16">
        <v>199342.7</v>
      </c>
      <c r="AB78" s="16"/>
      <c r="AC78" s="16">
        <f>1258375.62</f>
        <v>1258375.6200000001</v>
      </c>
      <c r="AD78" s="16">
        <v>844102</v>
      </c>
      <c r="AE78" s="16">
        <f>633441.77</f>
        <v>633441.77</v>
      </c>
      <c r="AF78" s="16">
        <v>633441.77</v>
      </c>
      <c r="AG78" s="16"/>
      <c r="AH78" s="16"/>
      <c r="AI78" s="16">
        <v>455519.72</v>
      </c>
      <c r="AJ78" s="16"/>
      <c r="AK78" s="16"/>
      <c r="AL78" s="16"/>
      <c r="AM78" s="23">
        <v>477748.33</v>
      </c>
      <c r="AN78" s="23">
        <v>477748.33</v>
      </c>
      <c r="AO78" s="23"/>
      <c r="AP78" s="23"/>
      <c r="AQ78" s="16">
        <v>488025.34</v>
      </c>
      <c r="AR78" s="16">
        <v>488025.34</v>
      </c>
      <c r="AS78" s="16"/>
      <c r="AT78" s="16"/>
      <c r="AU78" s="24"/>
      <c r="AV78" s="24"/>
    </row>
    <row r="79" spans="1:48">
      <c r="A79" s="139" t="s">
        <v>52</v>
      </c>
      <c r="B79" s="140"/>
      <c r="C79" s="138">
        <v>10765845.27</v>
      </c>
      <c r="D79" s="138">
        <v>7171240.7400000002</v>
      </c>
      <c r="E79" s="138">
        <f>SUM(E81:E85)</f>
        <v>13066265.32</v>
      </c>
      <c r="F79" s="138">
        <f>SUM(F81:F85)</f>
        <v>9363054.25</v>
      </c>
      <c r="G79" s="138">
        <f t="shared" ref="G79:AC79" si="21">SUM(G81:G85)</f>
        <v>12452961.670000002</v>
      </c>
      <c r="H79" s="138">
        <f t="shared" si="21"/>
        <v>10697359.270000001</v>
      </c>
      <c r="I79" s="138">
        <f t="shared" si="21"/>
        <v>10509503.82</v>
      </c>
      <c r="J79" s="138">
        <f t="shared" si="21"/>
        <v>9311032.910000002</v>
      </c>
      <c r="K79" s="138">
        <f t="shared" si="21"/>
        <v>9816963.7700000014</v>
      </c>
      <c r="L79" s="138">
        <f t="shared" si="21"/>
        <v>9514146.0000000019</v>
      </c>
      <c r="M79" s="138">
        <f t="shared" si="21"/>
        <v>10491903.119999999</v>
      </c>
      <c r="N79" s="138">
        <f t="shared" si="21"/>
        <v>10223094.629999999</v>
      </c>
      <c r="O79" s="138">
        <f t="shared" si="21"/>
        <v>11041075.82</v>
      </c>
      <c r="P79" s="138">
        <f t="shared" si="21"/>
        <v>9852688.540000001</v>
      </c>
      <c r="Q79" s="138">
        <f t="shared" si="21"/>
        <v>11491967.560000001</v>
      </c>
      <c r="R79" s="138">
        <f t="shared" si="21"/>
        <v>9865070.0600000005</v>
      </c>
      <c r="S79" s="138">
        <f t="shared" si="21"/>
        <v>12060303.5</v>
      </c>
      <c r="T79" s="138">
        <f t="shared" si="21"/>
        <v>10862190.040000001</v>
      </c>
      <c r="U79" s="138">
        <f t="shared" si="21"/>
        <v>11619250.300000001</v>
      </c>
      <c r="V79" s="138">
        <f t="shared" si="21"/>
        <v>9816511.040000001</v>
      </c>
      <c r="W79" s="138">
        <f t="shared" si="21"/>
        <v>11514591.1</v>
      </c>
      <c r="X79" s="138">
        <f t="shared" si="21"/>
        <v>10293165.02</v>
      </c>
      <c r="Y79" s="138">
        <f t="shared" si="21"/>
        <v>14972637.870000001</v>
      </c>
      <c r="Z79" s="138">
        <f t="shared" si="21"/>
        <v>11006589.689999999</v>
      </c>
      <c r="AA79" s="145">
        <f t="shared" si="21"/>
        <v>11434380.700000001</v>
      </c>
      <c r="AB79" s="145">
        <f t="shared" si="21"/>
        <v>1118646.56</v>
      </c>
      <c r="AC79" s="145">
        <f t="shared" si="21"/>
        <v>20378851.969999999</v>
      </c>
      <c r="AD79" s="145">
        <f t="shared" ref="AD79:AG79" si="22">AD81+AD82+AD83+AD84+AD85</f>
        <v>6845671.4899999993</v>
      </c>
      <c r="AE79" s="125">
        <f t="shared" si="22"/>
        <v>16329235.25</v>
      </c>
      <c r="AF79" s="125">
        <v>0</v>
      </c>
      <c r="AG79" s="125">
        <f t="shared" si="22"/>
        <v>5018242.82</v>
      </c>
      <c r="AH79" s="125">
        <v>0</v>
      </c>
      <c r="AI79" s="125">
        <f>AI81+AI82+AI83+AI84+AI85</f>
        <v>11485051.780000001</v>
      </c>
      <c r="AJ79" s="125"/>
      <c r="AK79" s="125">
        <f t="shared" ref="AK79:AT79" si="23">AK81+AK82+AK83+AK84+AK85</f>
        <v>0</v>
      </c>
      <c r="AL79" s="125">
        <f t="shared" si="23"/>
        <v>0</v>
      </c>
      <c r="AM79" s="150">
        <f t="shared" si="23"/>
        <v>7488101.6000000006</v>
      </c>
      <c r="AN79" s="150">
        <f t="shared" si="23"/>
        <v>0</v>
      </c>
      <c r="AO79" s="150">
        <f t="shared" si="23"/>
        <v>0</v>
      </c>
      <c r="AP79" s="150">
        <f t="shared" si="23"/>
        <v>0</v>
      </c>
      <c r="AQ79" s="125">
        <f t="shared" si="23"/>
        <v>14603618.210000001</v>
      </c>
      <c r="AR79" s="125">
        <f t="shared" si="23"/>
        <v>0</v>
      </c>
      <c r="AS79" s="125">
        <f t="shared" si="23"/>
        <v>0</v>
      </c>
      <c r="AT79" s="125">
        <f t="shared" si="23"/>
        <v>0</v>
      </c>
      <c r="AU79" s="123">
        <f>AQ79/AM79-1</f>
        <v>0.95024306427679872</v>
      </c>
      <c r="AV79" s="123" t="e">
        <f>AS79/AO79-1</f>
        <v>#DIV/0!</v>
      </c>
    </row>
    <row r="80" spans="1:48">
      <c r="A80" s="141"/>
      <c r="B80" s="142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32"/>
      <c r="AB80" s="132"/>
      <c r="AC80" s="132"/>
      <c r="AD80" s="132"/>
      <c r="AE80" s="126"/>
      <c r="AF80" s="126"/>
      <c r="AG80" s="126"/>
      <c r="AH80" s="126"/>
      <c r="AI80" s="126"/>
      <c r="AJ80" s="126"/>
      <c r="AK80" s="126"/>
      <c r="AL80" s="126"/>
      <c r="AM80" s="151"/>
      <c r="AN80" s="151"/>
      <c r="AO80" s="151"/>
      <c r="AP80" s="151"/>
      <c r="AQ80" s="126"/>
      <c r="AR80" s="126"/>
      <c r="AS80" s="126"/>
      <c r="AT80" s="126"/>
      <c r="AU80" s="124"/>
      <c r="AV80" s="124"/>
    </row>
    <row r="81" spans="1:48" ht="42" customHeight="1">
      <c r="A81" s="127" t="s">
        <v>10</v>
      </c>
      <c r="B81" s="128"/>
      <c r="C81" s="2"/>
      <c r="D81" s="2"/>
      <c r="E81" s="2">
        <v>1445875.56</v>
      </c>
      <c r="F81" s="2">
        <v>504057.32</v>
      </c>
      <c r="G81" s="2">
        <f>15780.83+1401592.32</f>
        <v>1417373.1500000001</v>
      </c>
      <c r="H81" s="2">
        <f>497307.75</f>
        <v>497307.75</v>
      </c>
      <c r="I81" s="2">
        <f>14359.15+1094634.15</f>
        <v>1108993.2999999998</v>
      </c>
      <c r="J81" s="2">
        <v>581610.39</v>
      </c>
      <c r="K81" s="2">
        <f>45290.3+812014.95</f>
        <v>857305.25</v>
      </c>
      <c r="L81" s="2">
        <v>554487.48</v>
      </c>
      <c r="M81" s="2">
        <f>22392+828113.09</f>
        <v>850505.09</v>
      </c>
      <c r="N81" s="2">
        <f>581696.6</f>
        <v>581696.6</v>
      </c>
      <c r="O81" s="2">
        <f>24207.15+1590490.12</f>
        <v>1614697.27</v>
      </c>
      <c r="P81" s="2">
        <f>484794.48</f>
        <v>484794.48</v>
      </c>
      <c r="Q81" s="2">
        <v>1906086.62</v>
      </c>
      <c r="R81" s="2"/>
      <c r="S81" s="2">
        <f>23600.15+1705289.54</f>
        <v>1728889.69</v>
      </c>
      <c r="T81" s="2">
        <v>530776.23</v>
      </c>
      <c r="U81" s="2">
        <f>2268996.34+30919.15</f>
        <v>2299915.4899999998</v>
      </c>
      <c r="V81" s="2">
        <v>497176.23</v>
      </c>
      <c r="W81" s="2">
        <f>2127960.81+48959.2</f>
        <v>2176920.0100000002</v>
      </c>
      <c r="X81" s="2">
        <v>955493.93</v>
      </c>
      <c r="Y81" s="2">
        <v>2219644.2799999998</v>
      </c>
      <c r="Z81" s="2">
        <f>782752.86</f>
        <v>782752.86</v>
      </c>
      <c r="AA81" s="16">
        <f>25455.33+3676740.99</f>
        <v>3702196.3200000003</v>
      </c>
      <c r="AB81" s="16">
        <v>370926</v>
      </c>
      <c r="AC81" s="16">
        <f>25119.87+10218497.79</f>
        <v>10243617.659999998</v>
      </c>
      <c r="AD81" s="16">
        <v>3812324.48</v>
      </c>
      <c r="AE81" s="16">
        <f>36469.87+5446750.25</f>
        <v>5483220.1200000001</v>
      </c>
      <c r="AF81" s="32">
        <v>0</v>
      </c>
      <c r="AG81" s="16">
        <v>2700000</v>
      </c>
      <c r="AH81" s="16">
        <v>0</v>
      </c>
      <c r="AI81" s="16">
        <f>10710.07+2822965.23</f>
        <v>2833675.3</v>
      </c>
      <c r="AJ81" s="16"/>
      <c r="AK81" s="16"/>
      <c r="AL81" s="16"/>
      <c r="AM81" s="23">
        <f>9192.56+2282555.49</f>
        <v>2291748.0500000003</v>
      </c>
      <c r="AN81" s="23"/>
      <c r="AO81" s="23"/>
      <c r="AP81" s="23"/>
      <c r="AQ81" s="16">
        <f>50620.17+5362622.69</f>
        <v>5413242.8600000003</v>
      </c>
      <c r="AR81" s="16"/>
      <c r="AS81" s="16"/>
      <c r="AT81" s="16"/>
      <c r="AU81" s="24"/>
      <c r="AV81" s="24"/>
    </row>
    <row r="82" spans="1:48">
      <c r="A82" s="127" t="s">
        <v>7</v>
      </c>
      <c r="B82" s="128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>
        <v>107414.79</v>
      </c>
      <c r="R82" s="2"/>
      <c r="S82" s="2"/>
      <c r="T82" s="2"/>
      <c r="U82" s="2"/>
      <c r="V82" s="2"/>
      <c r="W82" s="2"/>
      <c r="X82" s="2"/>
      <c r="Y82" s="2"/>
      <c r="Z82" s="2"/>
      <c r="AA82" s="16">
        <f>240366.78+3338386.23</f>
        <v>3578753.01</v>
      </c>
      <c r="AB82" s="16"/>
      <c r="AC82" s="16">
        <f>213303.85+3570475.36</f>
        <v>3783779.21</v>
      </c>
      <c r="AD82" s="16"/>
      <c r="AE82" s="16">
        <f>1013379.37+4504888.09</f>
        <v>5518267.46</v>
      </c>
      <c r="AF82" s="16"/>
      <c r="AG82" s="16"/>
      <c r="AH82" s="16"/>
      <c r="AI82" s="16">
        <f>1131560.79+5170327.87</f>
        <v>6301888.6600000001</v>
      </c>
      <c r="AJ82" s="16"/>
      <c r="AK82" s="16"/>
      <c r="AL82" s="16"/>
      <c r="AM82" s="23">
        <v>4301429.2699999996</v>
      </c>
      <c r="AN82" s="23"/>
      <c r="AO82" s="23"/>
      <c r="AP82" s="23"/>
      <c r="AQ82" s="16">
        <f>1431725.7+5153951.79</f>
        <v>6585677.4900000002</v>
      </c>
      <c r="AR82" s="16"/>
      <c r="AS82" s="16"/>
      <c r="AT82" s="16"/>
      <c r="AU82" s="24"/>
      <c r="AV82" s="24"/>
    </row>
    <row r="83" spans="1:48" ht="43.8" customHeight="1">
      <c r="A83" s="127" t="s">
        <v>8</v>
      </c>
      <c r="B83" s="128"/>
      <c r="C83" s="2"/>
      <c r="D83" s="2"/>
      <c r="E83" s="2">
        <v>1463841.51</v>
      </c>
      <c r="F83" s="2"/>
      <c r="G83" s="2">
        <v>166700</v>
      </c>
      <c r="H83" s="2"/>
      <c r="I83" s="2"/>
      <c r="J83" s="2"/>
      <c r="K83" s="2"/>
      <c r="L83" s="2"/>
      <c r="M83" s="2"/>
      <c r="N83" s="2"/>
      <c r="O83" s="2">
        <v>27151.16</v>
      </c>
      <c r="P83" s="2"/>
      <c r="Q83" s="2">
        <v>78572.100000000006</v>
      </c>
      <c r="R83" s="2"/>
      <c r="S83" s="2"/>
      <c r="T83" s="2"/>
      <c r="U83" s="2"/>
      <c r="V83" s="2"/>
      <c r="W83" s="2"/>
      <c r="X83" s="2"/>
      <c r="Y83" s="2">
        <v>1439851.12</v>
      </c>
      <c r="Z83" s="2"/>
      <c r="AA83" s="16">
        <f>182858.49+1828141.64</f>
        <v>2011000.13</v>
      </c>
      <c r="AB83" s="16"/>
      <c r="AC83" s="16">
        <f>194574.38+2050743.86</f>
        <v>2245318.2400000002</v>
      </c>
      <c r="AD83" s="16"/>
      <c r="AE83" s="16">
        <f>840855.82+2166721.03</f>
        <v>3007576.8499999996</v>
      </c>
      <c r="AF83" s="16"/>
      <c r="AG83" s="16"/>
      <c r="AH83" s="16"/>
      <c r="AI83" s="16">
        <f>482166.78+1867321.04</f>
        <v>2349487.8200000003</v>
      </c>
      <c r="AJ83" s="16"/>
      <c r="AK83" s="16"/>
      <c r="AL83" s="16"/>
      <c r="AM83" s="23">
        <f>63.85+894860.43</f>
        <v>894924.28</v>
      </c>
      <c r="AN83" s="23"/>
      <c r="AO83" s="23"/>
      <c r="AP83" s="23"/>
      <c r="AQ83" s="16">
        <f>576676.77+2028021.09</f>
        <v>2604697.8600000003</v>
      </c>
      <c r="AR83" s="16"/>
      <c r="AS83" s="16"/>
      <c r="AT83" s="16"/>
      <c r="AU83" s="24"/>
      <c r="AV83" s="24"/>
    </row>
    <row r="84" spans="1:48">
      <c r="A84" s="127" t="s">
        <v>9</v>
      </c>
      <c r="B84" s="128"/>
      <c r="C84" s="2"/>
      <c r="D84" s="2"/>
      <c r="E84" s="2">
        <v>10156548.25</v>
      </c>
      <c r="F84" s="2">
        <v>8858996.9299999997</v>
      </c>
      <c r="G84" s="2">
        <f>317.3+10868571.22</f>
        <v>10868888.520000001</v>
      </c>
      <c r="H84" s="2">
        <f>10199734.22+317.3</f>
        <v>10200051.520000001</v>
      </c>
      <c r="I84" s="2">
        <f>317.3+9400193.22</f>
        <v>9400510.5200000014</v>
      </c>
      <c r="J84" s="2">
        <f>317.3+8729105.22</f>
        <v>8729422.5200000014</v>
      </c>
      <c r="K84" s="2">
        <f>317.3+8959341.22</f>
        <v>8959658.5200000014</v>
      </c>
      <c r="L84" s="2">
        <f>317.3+8959341.22</f>
        <v>8959658.5200000014</v>
      </c>
      <c r="M84" s="2">
        <v>9641398.0299999993</v>
      </c>
      <c r="N84" s="2">
        <v>9641398.0299999993</v>
      </c>
      <c r="O84" s="2">
        <f>9367894.06</f>
        <v>9367894.0600000005</v>
      </c>
      <c r="P84" s="2">
        <f>9367894.06</f>
        <v>9367894.0600000005</v>
      </c>
      <c r="Q84" s="2">
        <f>9367894.06</f>
        <v>9367894.0600000005</v>
      </c>
      <c r="R84" s="2">
        <v>9865070.0600000005</v>
      </c>
      <c r="S84" s="2">
        <v>10331413.810000001</v>
      </c>
      <c r="T84" s="2">
        <v>10331413.810000001</v>
      </c>
      <c r="U84" s="2">
        <v>9319334.8100000005</v>
      </c>
      <c r="V84" s="2">
        <v>9319334.8100000005</v>
      </c>
      <c r="W84" s="2">
        <f>9337671.09</f>
        <v>9337671.0899999999</v>
      </c>
      <c r="X84" s="2">
        <v>9337671.0899999999</v>
      </c>
      <c r="Y84" s="2">
        <v>11178667.26</v>
      </c>
      <c r="Z84" s="2">
        <v>10089361.619999999</v>
      </c>
      <c r="AA84" s="16">
        <f>41557.97+1353152.71</f>
        <v>1394710.68</v>
      </c>
      <c r="AB84" s="16"/>
      <c r="AC84" s="16">
        <f>79834.83+2444326.98</f>
        <v>2524161.81</v>
      </c>
      <c r="AD84" s="16">
        <v>1451371.96</v>
      </c>
      <c r="AE84" s="16">
        <v>497002</v>
      </c>
      <c r="AF84" s="16"/>
      <c r="AG84" s="16">
        <v>495074</v>
      </c>
      <c r="AH84" s="16"/>
      <c r="AI84" s="16"/>
      <c r="AJ84" s="16"/>
      <c r="AK84" s="16"/>
      <c r="AL84" s="16"/>
      <c r="AM84" s="23"/>
      <c r="AN84" s="23"/>
      <c r="AO84" s="23"/>
      <c r="AP84" s="23"/>
      <c r="AQ84" s="16"/>
      <c r="AR84" s="16"/>
      <c r="AS84" s="16"/>
      <c r="AT84" s="16"/>
      <c r="AU84" s="24"/>
      <c r="AV84" s="24"/>
    </row>
    <row r="85" spans="1:48">
      <c r="A85" s="127" t="s">
        <v>14</v>
      </c>
      <c r="B85" s="128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>
        <v>31333.33</v>
      </c>
      <c r="P85" s="2"/>
      <c r="Q85" s="2">
        <v>31999.99</v>
      </c>
      <c r="R85" s="2"/>
      <c r="S85" s="2"/>
      <c r="T85" s="2"/>
      <c r="U85" s="2"/>
      <c r="V85" s="2"/>
      <c r="W85" s="2"/>
      <c r="X85" s="2"/>
      <c r="Y85" s="2">
        <v>134475.21</v>
      </c>
      <c r="Z85" s="2">
        <v>134475.21</v>
      </c>
      <c r="AA85" s="16">
        <v>747720.56</v>
      </c>
      <c r="AB85" s="16">
        <v>747720.56</v>
      </c>
      <c r="AC85" s="16">
        <v>1581975.05</v>
      </c>
      <c r="AD85" s="16">
        <v>1581975.05</v>
      </c>
      <c r="AE85" s="16">
        <v>1823168.82</v>
      </c>
      <c r="AF85" s="16"/>
      <c r="AG85" s="16">
        <v>1823168.82</v>
      </c>
      <c r="AH85" s="16"/>
      <c r="AI85" s="13"/>
      <c r="AJ85" s="13"/>
      <c r="AK85" s="13"/>
      <c r="AL85" s="13"/>
      <c r="AM85" s="13"/>
      <c r="AN85" s="13"/>
      <c r="AO85" s="13"/>
      <c r="AP85" s="13"/>
      <c r="AQ85" s="16"/>
      <c r="AR85" s="16"/>
      <c r="AS85" s="16"/>
      <c r="AT85" s="16"/>
      <c r="AU85" s="24"/>
      <c r="AV85" s="24"/>
    </row>
    <row r="86" spans="1:48" hidden="1">
      <c r="A86" s="139" t="s">
        <v>4</v>
      </c>
      <c r="B86" s="140"/>
      <c r="C86" s="138">
        <v>654159.29</v>
      </c>
      <c r="D86" s="138">
        <f>SUM(D88:D92)</f>
        <v>0</v>
      </c>
      <c r="E86" s="138">
        <f t="shared" ref="E86:Z86" si="24">SUM(E88:E92)</f>
        <v>159427.71</v>
      </c>
      <c r="F86" s="138">
        <f t="shared" si="24"/>
        <v>156150</v>
      </c>
      <c r="G86" s="138">
        <f t="shared" si="24"/>
        <v>166323.26</v>
      </c>
      <c r="H86" s="138">
        <f t="shared" si="24"/>
        <v>156150</v>
      </c>
      <c r="I86" s="138">
        <f t="shared" si="24"/>
        <v>158187.54</v>
      </c>
      <c r="J86" s="138">
        <f t="shared" si="24"/>
        <v>156150</v>
      </c>
      <c r="K86" s="138">
        <f t="shared" si="24"/>
        <v>157389.10999999999</v>
      </c>
      <c r="L86" s="138">
        <f t="shared" si="24"/>
        <v>156150</v>
      </c>
      <c r="M86" s="138">
        <f t="shared" si="24"/>
        <v>162310.56</v>
      </c>
      <c r="N86" s="138">
        <f t="shared" si="24"/>
        <v>156150</v>
      </c>
      <c r="O86" s="138">
        <f t="shared" si="24"/>
        <v>158206.72</v>
      </c>
      <c r="P86" s="138">
        <f t="shared" si="24"/>
        <v>156150</v>
      </c>
      <c r="Q86" s="138">
        <f t="shared" si="24"/>
        <v>162910.32999999999</v>
      </c>
      <c r="R86" s="138">
        <f t="shared" si="24"/>
        <v>156150</v>
      </c>
      <c r="S86" s="138">
        <f t="shared" si="24"/>
        <v>159608.60999999999</v>
      </c>
      <c r="T86" s="138">
        <f t="shared" si="24"/>
        <v>156150</v>
      </c>
      <c r="U86" s="138">
        <f t="shared" si="24"/>
        <v>157986.35</v>
      </c>
      <c r="V86" s="138">
        <f t="shared" si="24"/>
        <v>156150</v>
      </c>
      <c r="W86" s="138">
        <f t="shared" si="24"/>
        <v>159926.9</v>
      </c>
      <c r="X86" s="138">
        <f t="shared" si="24"/>
        <v>156150</v>
      </c>
      <c r="Y86" s="138">
        <f t="shared" si="24"/>
        <v>0</v>
      </c>
      <c r="Z86" s="138">
        <f t="shared" si="24"/>
        <v>0</v>
      </c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152">
        <f>Y86/E86-1</f>
        <v>-1</v>
      </c>
      <c r="AV86" s="152">
        <f>Z86/F86-1</f>
        <v>-1</v>
      </c>
    </row>
    <row r="87" spans="1:48" hidden="1">
      <c r="A87" s="141"/>
      <c r="B87" s="142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153"/>
      <c r="AV87" s="153"/>
    </row>
    <row r="88" spans="1:48" hidden="1">
      <c r="A88" s="127" t="s">
        <v>10</v>
      </c>
      <c r="B88" s="128"/>
      <c r="C88" s="2"/>
      <c r="D88" s="2"/>
      <c r="E88" s="2">
        <v>2936.71</v>
      </c>
      <c r="F88" s="2"/>
      <c r="G88" s="2">
        <v>10173.26</v>
      </c>
      <c r="H88" s="2"/>
      <c r="I88" s="2">
        <v>2037.54</v>
      </c>
      <c r="J88" s="2"/>
      <c r="K88" s="2">
        <v>1239.1099999999999</v>
      </c>
      <c r="L88" s="2"/>
      <c r="M88" s="2">
        <v>6160.56</v>
      </c>
      <c r="N88" s="2"/>
      <c r="O88" s="2">
        <v>2056.7199999999998</v>
      </c>
      <c r="P88" s="2"/>
      <c r="Q88" s="2">
        <v>4968.33</v>
      </c>
      <c r="R88" s="2"/>
      <c r="S88" s="2">
        <v>3458.61</v>
      </c>
      <c r="T88" s="2"/>
      <c r="U88" s="2">
        <v>1836.35</v>
      </c>
      <c r="V88" s="2"/>
      <c r="W88" s="2">
        <v>3776.9</v>
      </c>
      <c r="X88" s="2"/>
      <c r="Y88" s="2"/>
      <c r="Z88" s="2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30"/>
      <c r="AV88" s="30"/>
    </row>
    <row r="89" spans="1:48" hidden="1">
      <c r="A89" s="127" t="s">
        <v>7</v>
      </c>
      <c r="B89" s="128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30"/>
      <c r="AV89" s="30"/>
    </row>
    <row r="90" spans="1:48" hidden="1">
      <c r="A90" s="127" t="s">
        <v>8</v>
      </c>
      <c r="B90" s="128"/>
      <c r="C90" s="2"/>
      <c r="D90" s="2"/>
      <c r="E90" s="2">
        <v>-10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30"/>
      <c r="AV90" s="30"/>
    </row>
    <row r="91" spans="1:48" hidden="1">
      <c r="A91" s="127" t="s">
        <v>9</v>
      </c>
      <c r="B91" s="128"/>
      <c r="C91" s="2"/>
      <c r="D91" s="2"/>
      <c r="E91" s="2">
        <v>351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>
        <v>1792</v>
      </c>
      <c r="R91" s="2"/>
      <c r="S91" s="2"/>
      <c r="T91" s="2"/>
      <c r="U91" s="2"/>
      <c r="V91" s="2"/>
      <c r="W91" s="2"/>
      <c r="X91" s="2"/>
      <c r="Y91" s="2"/>
      <c r="Z91" s="2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30"/>
      <c r="AV91" s="30"/>
    </row>
    <row r="92" spans="1:48" hidden="1">
      <c r="A92" s="127" t="s">
        <v>14</v>
      </c>
      <c r="B92" s="128"/>
      <c r="C92" s="2"/>
      <c r="D92" s="2"/>
      <c r="E92" s="2">
        <v>156150</v>
      </c>
      <c r="F92" s="2">
        <v>156150</v>
      </c>
      <c r="G92" s="2">
        <v>156150</v>
      </c>
      <c r="H92" s="2">
        <v>156150</v>
      </c>
      <c r="I92" s="2">
        <v>156150</v>
      </c>
      <c r="J92" s="2">
        <v>156150</v>
      </c>
      <c r="K92" s="2">
        <v>156150</v>
      </c>
      <c r="L92" s="2">
        <v>156150</v>
      </c>
      <c r="M92" s="2">
        <v>156150</v>
      </c>
      <c r="N92" s="2">
        <v>156150</v>
      </c>
      <c r="O92" s="2">
        <v>156150</v>
      </c>
      <c r="P92" s="2">
        <v>156150</v>
      </c>
      <c r="Q92" s="2">
        <v>156150</v>
      </c>
      <c r="R92" s="2">
        <v>156150</v>
      </c>
      <c r="S92" s="2">
        <v>156150</v>
      </c>
      <c r="T92" s="2">
        <v>156150</v>
      </c>
      <c r="U92" s="2">
        <v>156150</v>
      </c>
      <c r="V92" s="2">
        <v>156150</v>
      </c>
      <c r="W92" s="2">
        <v>156150</v>
      </c>
      <c r="X92" s="2">
        <v>156150</v>
      </c>
      <c r="Y92" s="2">
        <v>0</v>
      </c>
      <c r="Z92" s="2">
        <v>0</v>
      </c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30"/>
      <c r="AV92" s="30"/>
    </row>
    <row r="93" spans="1:48" hidden="1">
      <c r="A93" s="139" t="s">
        <v>15</v>
      </c>
      <c r="B93" s="140"/>
      <c r="C93" s="119">
        <v>10829169.880000001</v>
      </c>
      <c r="D93" s="119">
        <f>1640975.89+2975186.97+988391.8</f>
        <v>5604554.6600000001</v>
      </c>
      <c r="E93" s="119">
        <f>SUM(E95:E99)</f>
        <v>6197764.7700000005</v>
      </c>
      <c r="F93" s="119">
        <f>SUM(F95:F99)</f>
        <v>3749667.49</v>
      </c>
      <c r="G93" s="119">
        <f t="shared" ref="G93:AD93" si="25">SUM(G95:G99)</f>
        <v>6852948.2799999993</v>
      </c>
      <c r="H93" s="119">
        <f t="shared" si="25"/>
        <v>3749667.49</v>
      </c>
      <c r="I93" s="119">
        <f t="shared" si="25"/>
        <v>5929212.6499999994</v>
      </c>
      <c r="J93" s="119">
        <f t="shared" si="25"/>
        <v>2974471.0500000003</v>
      </c>
      <c r="K93" s="119">
        <f t="shared" si="25"/>
        <v>7559967.5599999996</v>
      </c>
      <c r="L93" s="119">
        <f t="shared" si="25"/>
        <v>2974471.0500000003</v>
      </c>
      <c r="M93" s="119">
        <f t="shared" si="25"/>
        <v>6930316.6799999997</v>
      </c>
      <c r="N93" s="119">
        <f t="shared" si="25"/>
        <v>4894294.6399999997</v>
      </c>
      <c r="O93" s="119">
        <f t="shared" si="25"/>
        <v>7219255.4799999995</v>
      </c>
      <c r="P93" s="119">
        <f t="shared" si="25"/>
        <v>4894294.6399999997</v>
      </c>
      <c r="Q93" s="119">
        <f t="shared" si="25"/>
        <v>9600917.8499999996</v>
      </c>
      <c r="R93" s="119">
        <f t="shared" si="25"/>
        <v>4651292.82</v>
      </c>
      <c r="S93" s="119">
        <f t="shared" si="25"/>
        <v>8525632.5199999996</v>
      </c>
      <c r="T93" s="119">
        <f t="shared" si="25"/>
        <v>4005766.16</v>
      </c>
      <c r="U93" s="119">
        <f t="shared" si="25"/>
        <v>10599393.380000001</v>
      </c>
      <c r="V93" s="119">
        <f t="shared" si="25"/>
        <v>1496363.55</v>
      </c>
      <c r="W93" s="119">
        <f t="shared" si="25"/>
        <v>20377243.73</v>
      </c>
      <c r="X93" s="119">
        <f t="shared" si="25"/>
        <v>1496363.55</v>
      </c>
      <c r="Y93" s="119">
        <f t="shared" si="25"/>
        <v>20412653.610000003</v>
      </c>
      <c r="Z93" s="119">
        <f t="shared" si="25"/>
        <v>13308419.82</v>
      </c>
      <c r="AA93" s="131">
        <f t="shared" si="25"/>
        <v>54055934.440000005</v>
      </c>
      <c r="AB93" s="131">
        <f t="shared" si="25"/>
        <v>17697811.539999999</v>
      </c>
      <c r="AC93" s="131">
        <f t="shared" si="25"/>
        <v>61418098.109999999</v>
      </c>
      <c r="AD93" s="131">
        <f t="shared" si="25"/>
        <v>39172056.890000001</v>
      </c>
      <c r="AE93" s="121">
        <f>AE95+AE96+AE97+AE98+AE99</f>
        <v>75253.62</v>
      </c>
      <c r="AF93" s="121">
        <v>0</v>
      </c>
      <c r="AG93" s="121">
        <v>0</v>
      </c>
      <c r="AH93" s="121">
        <v>0</v>
      </c>
      <c r="AI93" s="121">
        <f t="shared" ref="AI93:AP93" si="26">AI95+AI96+AI97+AI98+AI99</f>
        <v>0</v>
      </c>
      <c r="AJ93" s="121">
        <f t="shared" si="26"/>
        <v>0</v>
      </c>
      <c r="AK93" s="121">
        <f t="shared" si="26"/>
        <v>0</v>
      </c>
      <c r="AL93" s="121">
        <f t="shared" si="26"/>
        <v>0</v>
      </c>
      <c r="AM93" s="154">
        <f t="shared" si="26"/>
        <v>0</v>
      </c>
      <c r="AN93" s="154">
        <f t="shared" si="26"/>
        <v>0</v>
      </c>
      <c r="AO93" s="154">
        <f t="shared" si="26"/>
        <v>0</v>
      </c>
      <c r="AP93" s="154">
        <f t="shared" si="26"/>
        <v>0</v>
      </c>
      <c r="AQ93" s="69"/>
      <c r="AR93" s="69"/>
      <c r="AS93" s="69"/>
      <c r="AT93" s="69"/>
      <c r="AU93" s="152" t="e">
        <f>AM93/AI93-1</f>
        <v>#DIV/0!</v>
      </c>
      <c r="AV93" s="152" t="e">
        <f>AO93/AK93-1</f>
        <v>#DIV/0!</v>
      </c>
    </row>
    <row r="94" spans="1:48" hidden="1">
      <c r="A94" s="141"/>
      <c r="B94" s="142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32"/>
      <c r="AB94" s="132"/>
      <c r="AC94" s="132"/>
      <c r="AD94" s="132"/>
      <c r="AE94" s="122"/>
      <c r="AF94" s="122"/>
      <c r="AG94" s="122"/>
      <c r="AH94" s="122"/>
      <c r="AI94" s="122"/>
      <c r="AJ94" s="122"/>
      <c r="AK94" s="122"/>
      <c r="AL94" s="122"/>
      <c r="AM94" s="155"/>
      <c r="AN94" s="155"/>
      <c r="AO94" s="155"/>
      <c r="AP94" s="155"/>
      <c r="AQ94" s="70"/>
      <c r="AR94" s="70"/>
      <c r="AS94" s="70"/>
      <c r="AT94" s="70"/>
      <c r="AU94" s="153"/>
      <c r="AV94" s="153"/>
    </row>
    <row r="95" spans="1:48" hidden="1">
      <c r="A95" s="127" t="s">
        <v>10</v>
      </c>
      <c r="B95" s="128"/>
      <c r="C95" s="1"/>
      <c r="D95" s="1"/>
      <c r="E95" s="1">
        <v>6195284.0800000001</v>
      </c>
      <c r="F95" s="1">
        <f>3363056.56+386610.93</f>
        <v>3749667.49</v>
      </c>
      <c r="G95" s="1">
        <f>2263909.36+4559378.25</f>
        <v>6823287.6099999994</v>
      </c>
      <c r="H95" s="1">
        <f>386610.93+3363056.56</f>
        <v>3749667.49</v>
      </c>
      <c r="I95" s="1">
        <f>1799893.76+4099496.79</f>
        <v>5899390.5499999998</v>
      </c>
      <c r="J95" s="1">
        <f>386610.93+2587860.12</f>
        <v>2974471.0500000003</v>
      </c>
      <c r="K95" s="1">
        <f>5416106.16+2141154.26+1386.18+1320.96</f>
        <v>7559967.5599999996</v>
      </c>
      <c r="L95" s="1">
        <f>2587860.12+386610.93</f>
        <v>2974471.0500000003</v>
      </c>
      <c r="M95" s="1">
        <v>6930316.6799999997</v>
      </c>
      <c r="N95" s="1">
        <v>4894294.6399999997</v>
      </c>
      <c r="O95" s="1">
        <f>1865798.47+5348998.75</f>
        <v>7214797.2199999997</v>
      </c>
      <c r="P95" s="1">
        <f>386610.93+4507683.71</f>
        <v>4894294.6399999997</v>
      </c>
      <c r="Q95" s="1">
        <v>9600917.8499999996</v>
      </c>
      <c r="R95" s="1">
        <v>4651292.82</v>
      </c>
      <c r="S95" s="1">
        <f>2951333.92+5555295.68+15251.76+3751.16</f>
        <v>8525632.5199999996</v>
      </c>
      <c r="T95" s="1">
        <f>3619155.23+386610.93</f>
        <v>4005766.16</v>
      </c>
      <c r="U95" s="1">
        <f>1992205.58+8591549.02+5323.15+10315.63</f>
        <v>10599393.380000001</v>
      </c>
      <c r="V95" s="1">
        <f>1109752.62+386610.93</f>
        <v>1496363.55</v>
      </c>
      <c r="W95" s="1">
        <f>10545735.23+9823125.67+3422.46+4960.37</f>
        <v>20377243.73</v>
      </c>
      <c r="X95" s="1">
        <f>386610.93+1109752.62</f>
        <v>1496363.55</v>
      </c>
      <c r="Y95" s="1">
        <v>20441640.960000001</v>
      </c>
      <c r="Z95" s="1">
        <v>13308419.82</v>
      </c>
      <c r="AA95" s="19">
        <f>33166250.55+116.03+20185020.65+10333.24-153588.27</f>
        <v>53208132.200000003</v>
      </c>
      <c r="AB95" s="19">
        <f>17535000.48+162811.06-153588.27</f>
        <v>17544223.27</v>
      </c>
      <c r="AC95" s="19">
        <f>44014737.97+19482.3+16465957.71</f>
        <v>60500177.979999997</v>
      </c>
      <c r="AD95" s="19">
        <f>29503554.98+9668501.91</f>
        <v>39172056.890000001</v>
      </c>
      <c r="AE95" s="19">
        <v>75253.62</v>
      </c>
      <c r="AF95" s="19">
        <v>0</v>
      </c>
      <c r="AG95" s="19">
        <v>0</v>
      </c>
      <c r="AH95" s="19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34"/>
      <c r="AV95" s="34"/>
    </row>
    <row r="96" spans="1:48" hidden="1">
      <c r="A96" s="127" t="s">
        <v>7</v>
      </c>
      <c r="B96" s="128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9">
        <f>174701.03+239873.77</f>
        <v>414574.8</v>
      </c>
      <c r="AB96" s="19"/>
      <c r="AC96" s="19">
        <f>340113.75+6309.58+298211.41</f>
        <v>644634.74</v>
      </c>
      <c r="AD96" s="19"/>
      <c r="AE96" s="19"/>
      <c r="AF96" s="19"/>
      <c r="AG96" s="19"/>
      <c r="AH96" s="19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34"/>
      <c r="AV96" s="34"/>
    </row>
    <row r="97" spans="1:49" hidden="1">
      <c r="A97" s="127" t="s">
        <v>8</v>
      </c>
      <c r="B97" s="128"/>
      <c r="C97" s="1"/>
      <c r="D97" s="1"/>
      <c r="E97" s="1"/>
      <c r="F97" s="1"/>
      <c r="G97" s="1">
        <v>-0.01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9">
        <v>150004.17000000001</v>
      </c>
      <c r="AB97" s="19"/>
      <c r="AC97" s="19">
        <f>218911.42+53273.97</f>
        <v>272185.39</v>
      </c>
      <c r="AD97" s="19"/>
      <c r="AE97" s="19"/>
      <c r="AF97" s="19"/>
      <c r="AG97" s="19"/>
      <c r="AH97" s="19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34"/>
      <c r="AV97" s="34"/>
    </row>
    <row r="98" spans="1:49" hidden="1">
      <c r="A98" s="127" t="s">
        <v>9</v>
      </c>
      <c r="B98" s="128"/>
      <c r="C98" s="1"/>
      <c r="D98" s="1"/>
      <c r="E98" s="1"/>
      <c r="F98" s="1"/>
      <c r="G98" s="1">
        <v>-67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>
        <v>-94199.79</v>
      </c>
      <c r="Z98" s="1"/>
      <c r="AA98" s="19">
        <f>129635</f>
        <v>129635</v>
      </c>
      <c r="AB98" s="19"/>
      <c r="AC98" s="19"/>
      <c r="AD98" s="19"/>
      <c r="AE98" s="19"/>
      <c r="AF98" s="19"/>
      <c r="AG98" s="19"/>
      <c r="AH98" s="19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34"/>
      <c r="AV98" s="34"/>
    </row>
    <row r="99" spans="1:49" hidden="1">
      <c r="A99" s="127" t="s">
        <v>14</v>
      </c>
      <c r="B99" s="128"/>
      <c r="C99" s="1"/>
      <c r="D99" s="1"/>
      <c r="E99" s="1">
        <v>2480.69</v>
      </c>
      <c r="F99" s="1"/>
      <c r="G99" s="1">
        <f>10138.57+19589.11</f>
        <v>29727.68</v>
      </c>
      <c r="H99" s="1"/>
      <c r="I99" s="1">
        <f>14183.88+15638.22</f>
        <v>29822.1</v>
      </c>
      <c r="J99" s="1"/>
      <c r="K99" s="1"/>
      <c r="L99" s="1"/>
      <c r="M99" s="1"/>
      <c r="N99" s="1"/>
      <c r="O99" s="1">
        <v>4458.26</v>
      </c>
      <c r="P99" s="1"/>
      <c r="Q99" s="1"/>
      <c r="R99" s="1"/>
      <c r="S99" s="1"/>
      <c r="T99" s="1"/>
      <c r="U99" s="1"/>
      <c r="V99" s="1"/>
      <c r="W99" s="1"/>
      <c r="X99" s="1"/>
      <c r="Y99" s="1">
        <v>65212.44</v>
      </c>
      <c r="Z99" s="1"/>
      <c r="AA99" s="19">
        <v>153588.26999999999</v>
      </c>
      <c r="AB99" s="19">
        <v>153588.26999999999</v>
      </c>
      <c r="AC99" s="19">
        <v>1100</v>
      </c>
      <c r="AD99" s="19"/>
      <c r="AE99" s="19"/>
      <c r="AF99" s="19"/>
      <c r="AG99" s="19"/>
      <c r="AH99" s="19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34"/>
      <c r="AV99" s="34"/>
    </row>
    <row r="100" spans="1:49">
      <c r="A100" s="139" t="s">
        <v>13</v>
      </c>
      <c r="B100" s="140"/>
      <c r="C100" s="138">
        <v>-1470.89</v>
      </c>
      <c r="D100" s="138">
        <f>SUM(D102:D106)</f>
        <v>0</v>
      </c>
      <c r="E100" s="138">
        <f t="shared" ref="E100:AB100" si="27">SUM(E102:E106)</f>
        <v>741.25</v>
      </c>
      <c r="F100" s="138">
        <f t="shared" si="27"/>
        <v>0</v>
      </c>
      <c r="G100" s="138">
        <f t="shared" si="27"/>
        <v>0</v>
      </c>
      <c r="H100" s="138">
        <f t="shared" si="27"/>
        <v>0</v>
      </c>
      <c r="I100" s="138">
        <f t="shared" si="27"/>
        <v>0</v>
      </c>
      <c r="J100" s="138">
        <f t="shared" si="27"/>
        <v>0</v>
      </c>
      <c r="K100" s="138">
        <f t="shared" si="27"/>
        <v>0</v>
      </c>
      <c r="L100" s="138">
        <f t="shared" si="27"/>
        <v>0</v>
      </c>
      <c r="M100" s="138">
        <f t="shared" si="27"/>
        <v>0</v>
      </c>
      <c r="N100" s="138">
        <f t="shared" si="27"/>
        <v>0</v>
      </c>
      <c r="O100" s="138">
        <f t="shared" si="27"/>
        <v>0</v>
      </c>
      <c r="P100" s="138">
        <f t="shared" si="27"/>
        <v>0</v>
      </c>
      <c r="Q100" s="138">
        <f t="shared" si="27"/>
        <v>0</v>
      </c>
      <c r="R100" s="138">
        <f t="shared" si="27"/>
        <v>0</v>
      </c>
      <c r="S100" s="138">
        <f t="shared" si="27"/>
        <v>0</v>
      </c>
      <c r="T100" s="138">
        <f t="shared" si="27"/>
        <v>0</v>
      </c>
      <c r="U100" s="138">
        <f t="shared" si="27"/>
        <v>0</v>
      </c>
      <c r="V100" s="138">
        <f t="shared" si="27"/>
        <v>0</v>
      </c>
      <c r="W100" s="138">
        <f t="shared" si="27"/>
        <v>0</v>
      </c>
      <c r="X100" s="138">
        <f t="shared" si="27"/>
        <v>0</v>
      </c>
      <c r="Y100" s="138">
        <f t="shared" si="27"/>
        <v>0</v>
      </c>
      <c r="Z100" s="138">
        <f t="shared" si="27"/>
        <v>0</v>
      </c>
      <c r="AA100" s="145">
        <f>AA102+AA103+AA104+AA105+AA106</f>
        <v>84248.31</v>
      </c>
      <c r="AB100" s="145">
        <f t="shared" si="27"/>
        <v>0</v>
      </c>
      <c r="AC100" s="145">
        <f>SUM(AC102:AC106)</f>
        <v>130082.92000000001</v>
      </c>
      <c r="AD100" s="145">
        <f>SUM(AD102:AD106)</f>
        <v>0</v>
      </c>
      <c r="AE100" s="125">
        <f t="shared" ref="AE100:AT100" si="28">AE102+AE103+AE104+AE105+AE106</f>
        <v>45365.68</v>
      </c>
      <c r="AF100" s="125">
        <f t="shared" si="28"/>
        <v>0</v>
      </c>
      <c r="AG100" s="125">
        <v>0</v>
      </c>
      <c r="AH100" s="125">
        <f t="shared" si="28"/>
        <v>0</v>
      </c>
      <c r="AI100" s="125">
        <f t="shared" si="28"/>
        <v>0</v>
      </c>
      <c r="AJ100" s="125">
        <f t="shared" si="28"/>
        <v>0</v>
      </c>
      <c r="AK100" s="125">
        <f t="shared" si="28"/>
        <v>0</v>
      </c>
      <c r="AL100" s="125">
        <f t="shared" si="28"/>
        <v>0</v>
      </c>
      <c r="AM100" s="125">
        <f t="shared" si="28"/>
        <v>0</v>
      </c>
      <c r="AN100" s="125">
        <f t="shared" si="28"/>
        <v>0</v>
      </c>
      <c r="AO100" s="125">
        <f t="shared" si="28"/>
        <v>0</v>
      </c>
      <c r="AP100" s="125">
        <f t="shared" si="28"/>
        <v>0</v>
      </c>
      <c r="AQ100" s="125">
        <f t="shared" si="28"/>
        <v>94141.03</v>
      </c>
      <c r="AR100" s="125">
        <f t="shared" si="28"/>
        <v>0</v>
      </c>
      <c r="AS100" s="125">
        <f t="shared" si="28"/>
        <v>0</v>
      </c>
      <c r="AT100" s="125">
        <f t="shared" si="28"/>
        <v>0</v>
      </c>
      <c r="AU100" s="123" t="e">
        <f>AQ100/AM100-1</f>
        <v>#DIV/0!</v>
      </c>
      <c r="AV100" s="123" t="e">
        <f>AS100/AO100-1</f>
        <v>#DIV/0!</v>
      </c>
    </row>
    <row r="101" spans="1:49">
      <c r="A101" s="141"/>
      <c r="B101" s="142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32"/>
      <c r="AB101" s="132"/>
      <c r="AC101" s="158"/>
      <c r="AD101" s="132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  <c r="AS101" s="126"/>
      <c r="AT101" s="126"/>
      <c r="AU101" s="124"/>
      <c r="AV101" s="124"/>
    </row>
    <row r="102" spans="1:49" ht="43.8" customHeight="1">
      <c r="A102" s="127" t="s">
        <v>10</v>
      </c>
      <c r="B102" s="128"/>
      <c r="C102" s="2"/>
      <c r="D102" s="2"/>
      <c r="E102" s="2">
        <v>741.25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16"/>
      <c r="AB102" s="16"/>
      <c r="AC102" s="16">
        <v>5034.4399999999996</v>
      </c>
      <c r="AD102" s="13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24"/>
      <c r="AV102" s="24"/>
    </row>
    <row r="103" spans="1:49">
      <c r="A103" s="127" t="s">
        <v>7</v>
      </c>
      <c r="B103" s="128"/>
      <c r="C103" s="2"/>
      <c r="D103" s="2"/>
      <c r="E103" s="2">
        <v>0</v>
      </c>
      <c r="F103" s="2">
        <v>0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16">
        <v>53091.66</v>
      </c>
      <c r="AB103" s="16"/>
      <c r="AC103" s="16">
        <v>81730</v>
      </c>
      <c r="AD103" s="13"/>
      <c r="AE103" s="16">
        <v>28290.47</v>
      </c>
      <c r="AF103" s="16"/>
      <c r="AG103" s="16"/>
      <c r="AH103" s="16"/>
      <c r="AI103" s="13"/>
      <c r="AJ103" s="13"/>
      <c r="AK103" s="13"/>
      <c r="AL103" s="13"/>
      <c r="AM103" s="16"/>
      <c r="AN103" s="16"/>
      <c r="AO103" s="16"/>
      <c r="AP103" s="16"/>
      <c r="AQ103" s="16">
        <v>66042.28</v>
      </c>
      <c r="AR103" s="16"/>
      <c r="AS103" s="16"/>
      <c r="AT103" s="16"/>
      <c r="AU103" s="24"/>
      <c r="AV103" s="24"/>
    </row>
    <row r="104" spans="1:49" ht="43.2" customHeight="1">
      <c r="A104" s="127" t="s">
        <v>8</v>
      </c>
      <c r="B104" s="128"/>
      <c r="C104" s="2"/>
      <c r="D104" s="2"/>
      <c r="E104" s="2">
        <v>0</v>
      </c>
      <c r="F104" s="2">
        <v>0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16">
        <v>31156.65</v>
      </c>
      <c r="AB104" s="16"/>
      <c r="AC104" s="16">
        <v>43318.48</v>
      </c>
      <c r="AD104" s="13"/>
      <c r="AE104" s="16">
        <v>17075.21</v>
      </c>
      <c r="AF104" s="16"/>
      <c r="AG104" s="16"/>
      <c r="AH104" s="16"/>
      <c r="AI104" s="13"/>
      <c r="AJ104" s="13"/>
      <c r="AK104" s="13"/>
      <c r="AL104" s="13"/>
      <c r="AM104" s="16"/>
      <c r="AN104" s="16"/>
      <c r="AO104" s="16"/>
      <c r="AP104" s="16"/>
      <c r="AQ104" s="16">
        <v>28098.75</v>
      </c>
      <c r="AR104" s="16"/>
      <c r="AS104" s="16"/>
      <c r="AT104" s="16"/>
      <c r="AU104" s="24"/>
      <c r="AV104" s="24"/>
    </row>
    <row r="105" spans="1:49">
      <c r="A105" s="127" t="s">
        <v>9</v>
      </c>
      <c r="B105" s="128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16"/>
      <c r="AB105" s="23"/>
      <c r="AC105" s="13"/>
      <c r="AD105" s="13"/>
      <c r="AE105" s="16"/>
      <c r="AF105" s="16"/>
      <c r="AG105" s="16"/>
      <c r="AH105" s="16"/>
      <c r="AI105" s="13"/>
      <c r="AJ105" s="13"/>
      <c r="AK105" s="13"/>
      <c r="AL105" s="13"/>
      <c r="AM105" s="16"/>
      <c r="AN105" s="16"/>
      <c r="AO105" s="16"/>
      <c r="AP105" s="16"/>
      <c r="AQ105" s="16"/>
      <c r="AR105" s="16"/>
      <c r="AS105" s="16"/>
      <c r="AT105" s="16"/>
      <c r="AU105" s="24"/>
      <c r="AV105" s="24"/>
    </row>
    <row r="106" spans="1:49">
      <c r="A106" s="127" t="s">
        <v>14</v>
      </c>
      <c r="B106" s="128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6"/>
      <c r="AR106" s="16"/>
      <c r="AS106" s="16"/>
      <c r="AT106" s="16"/>
      <c r="AU106" s="24"/>
      <c r="AV106" s="24"/>
    </row>
    <row r="107" spans="1:49" ht="57.6" hidden="1">
      <c r="A107" s="7" t="s">
        <v>22</v>
      </c>
      <c r="B107" s="7"/>
      <c r="C107" s="9">
        <v>3090165.46</v>
      </c>
      <c r="D107" s="9">
        <v>3090165.46</v>
      </c>
      <c r="E107" s="9">
        <f>SUM(E108:E110)</f>
        <v>0</v>
      </c>
      <c r="F107" s="9">
        <f>SUM(F108:F110)</f>
        <v>0</v>
      </c>
      <c r="G107" s="9">
        <f t="shared" ref="G107:Z107" si="29">SUM(G108:G110)</f>
        <v>0</v>
      </c>
      <c r="H107" s="9">
        <f t="shared" si="29"/>
        <v>0</v>
      </c>
      <c r="I107" s="9">
        <f t="shared" si="29"/>
        <v>0</v>
      </c>
      <c r="J107" s="9">
        <f t="shared" si="29"/>
        <v>0</v>
      </c>
      <c r="K107" s="9">
        <f t="shared" si="29"/>
        <v>0</v>
      </c>
      <c r="L107" s="9">
        <f t="shared" si="29"/>
        <v>0</v>
      </c>
      <c r="M107" s="9">
        <f t="shared" si="29"/>
        <v>0</v>
      </c>
      <c r="N107" s="9">
        <f t="shared" si="29"/>
        <v>0</v>
      </c>
      <c r="O107" s="9">
        <f t="shared" si="29"/>
        <v>0</v>
      </c>
      <c r="P107" s="9">
        <f t="shared" si="29"/>
        <v>0</v>
      </c>
      <c r="Q107" s="9">
        <f t="shared" si="29"/>
        <v>0</v>
      </c>
      <c r="R107" s="9">
        <f t="shared" si="29"/>
        <v>0</v>
      </c>
      <c r="S107" s="9">
        <f t="shared" si="29"/>
        <v>0</v>
      </c>
      <c r="T107" s="9">
        <f t="shared" si="29"/>
        <v>0</v>
      </c>
      <c r="U107" s="9">
        <f t="shared" si="29"/>
        <v>0</v>
      </c>
      <c r="V107" s="9">
        <f t="shared" si="29"/>
        <v>0</v>
      </c>
      <c r="W107" s="9">
        <f t="shared" si="29"/>
        <v>0</v>
      </c>
      <c r="X107" s="9">
        <f t="shared" si="29"/>
        <v>0</v>
      </c>
      <c r="Y107" s="9">
        <f t="shared" si="29"/>
        <v>0</v>
      </c>
      <c r="Z107" s="9">
        <f t="shared" si="29"/>
        <v>0</v>
      </c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152">
        <v>0</v>
      </c>
      <c r="AV107" s="152">
        <v>0</v>
      </c>
    </row>
    <row r="108" spans="1:49" hidden="1">
      <c r="A108" s="127" t="s">
        <v>9</v>
      </c>
      <c r="B108" s="156"/>
      <c r="C108" s="2"/>
      <c r="D108" s="2"/>
      <c r="E108" s="2"/>
      <c r="F108" s="2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13"/>
      <c r="AB108" s="13"/>
      <c r="AC108" s="13"/>
      <c r="AD108" s="13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153"/>
      <c r="AV108" s="153"/>
    </row>
    <row r="109" spans="1:49" hidden="1">
      <c r="A109" s="157" t="s">
        <v>21</v>
      </c>
      <c r="B109" s="156"/>
      <c r="C109" s="9">
        <f>4008760.53+5844431.63+14283.75+179317.37</f>
        <v>10046793.279999999</v>
      </c>
      <c r="D109" s="9">
        <f>989699.04+1910943.77</f>
        <v>2900642.81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31"/>
      <c r="AV109" s="31"/>
    </row>
    <row r="110" spans="1:49" hidden="1">
      <c r="A110" s="8"/>
      <c r="B110" s="8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30"/>
      <c r="AV110" s="30"/>
    </row>
    <row r="111" spans="1:49">
      <c r="A111" s="157" t="s">
        <v>11</v>
      </c>
      <c r="B111" s="156"/>
      <c r="C111" s="10">
        <f>C8+C51+C58+C65+C72+C79+C86+C93+C100+C107+C109</f>
        <v>94587677.819999993</v>
      </c>
      <c r="D111" s="10">
        <f>D8+D51+D58+D65+D72+D79+D86+D93+D100+D107+D109</f>
        <v>68008770.719999999</v>
      </c>
      <c r="E111" s="10">
        <f t="shared" ref="E111:AD111" si="30">E8+E51+E58+E65+E72+E79+E86+E93+E100+E107</f>
        <v>85864729.75999999</v>
      </c>
      <c r="F111" s="10">
        <f t="shared" si="30"/>
        <v>66510808.209999993</v>
      </c>
      <c r="G111" s="10">
        <f t="shared" si="30"/>
        <v>93511066.090000018</v>
      </c>
      <c r="H111" s="10">
        <f t="shared" si="30"/>
        <v>66963948.660000004</v>
      </c>
      <c r="I111" s="10">
        <f t="shared" si="30"/>
        <v>92440148.88000001</v>
      </c>
      <c r="J111" s="10">
        <f t="shared" si="30"/>
        <v>69371696.100000009</v>
      </c>
      <c r="K111" s="10">
        <f t="shared" si="30"/>
        <v>93692017.959999993</v>
      </c>
      <c r="L111" s="10">
        <f t="shared" si="30"/>
        <v>72494645.030000001</v>
      </c>
      <c r="M111" s="10">
        <f t="shared" si="30"/>
        <v>95350288.340000004</v>
      </c>
      <c r="N111" s="10">
        <f t="shared" si="30"/>
        <v>74699098.340000004</v>
      </c>
      <c r="O111" s="10">
        <f t="shared" si="30"/>
        <v>92952938.269999996</v>
      </c>
      <c r="P111" s="10">
        <f t="shared" si="30"/>
        <v>82357876.220000014</v>
      </c>
      <c r="Q111" s="10">
        <f t="shared" si="30"/>
        <v>97449531.209999979</v>
      </c>
      <c r="R111" s="10">
        <f t="shared" si="30"/>
        <v>74441297.569999993</v>
      </c>
      <c r="S111" s="10">
        <f t="shared" si="30"/>
        <v>96755275.489999995</v>
      </c>
      <c r="T111" s="10">
        <f t="shared" si="30"/>
        <v>74719949.890000001</v>
      </c>
      <c r="U111" s="10">
        <f t="shared" si="30"/>
        <v>97352731.719999984</v>
      </c>
      <c r="V111" s="10">
        <f t="shared" si="30"/>
        <v>74918061.669999987</v>
      </c>
      <c r="W111" s="10">
        <f t="shared" si="30"/>
        <v>103431682.53</v>
      </c>
      <c r="X111" s="10">
        <f t="shared" si="30"/>
        <v>71550048.36999999</v>
      </c>
      <c r="Y111" s="10">
        <f t="shared" si="30"/>
        <v>139512827.16999999</v>
      </c>
      <c r="Z111" s="10">
        <f t="shared" si="30"/>
        <v>116277638.82999998</v>
      </c>
      <c r="AA111" s="20">
        <f t="shared" si="30"/>
        <v>136792938.08000001</v>
      </c>
      <c r="AB111" s="20">
        <f t="shared" si="30"/>
        <v>43344897.469999999</v>
      </c>
      <c r="AC111" s="20">
        <f t="shared" si="30"/>
        <v>211086618.58000001</v>
      </c>
      <c r="AD111" s="20">
        <f t="shared" si="30"/>
        <v>119975047.31999999</v>
      </c>
      <c r="AE111" s="20">
        <f t="shared" ref="AE111:AH111" si="31">AE8+AE51+AE58+AE65+AE72+AE79+AE93+AE100</f>
        <v>128946217.90000001</v>
      </c>
      <c r="AF111" s="20">
        <f t="shared" si="31"/>
        <v>32163242.649999999</v>
      </c>
      <c r="AG111" s="20">
        <f t="shared" si="31"/>
        <v>14429840.109999999</v>
      </c>
      <c r="AH111" s="20">
        <f t="shared" si="31"/>
        <v>0</v>
      </c>
      <c r="AI111" s="68">
        <f>AI8+AI51+AI58+AI65+AI72+AI79+AI93+AI100+AI21+AI27+AI33</f>
        <v>110206071.34</v>
      </c>
      <c r="AJ111" s="68">
        <f>AJ8+AJ51+AJ58+AJ65+AJ72+AJ79+AJ93+AJ100+AJ21+AJ27+AJ33</f>
        <v>26197666.589999996</v>
      </c>
      <c r="AK111" s="68">
        <f>AK8+AK51+AK58+AK65+AK72+AK79+AK93+AK100+AK21+AK27+AK33</f>
        <v>952355</v>
      </c>
      <c r="AL111" s="68">
        <f>AL8+AL51+AL58+AL65+AL72+AL79+AL93+AL100+AL21+AL27+AL33</f>
        <v>571235</v>
      </c>
      <c r="AM111" s="68">
        <f>AM8+AM51+AM58+AM65+AM72+AM79+AM93+AM100+AM21+AM27+AM33+AM39</f>
        <v>80776546.540000007</v>
      </c>
      <c r="AN111" s="68">
        <f>AN8+AN51+AN58+AN65+AN72+AN79+AN93+AN100+AN21+AN27+AN33+AN39+AN15</f>
        <v>35099528.390000001</v>
      </c>
      <c r="AO111" s="68">
        <f>AO8+AO51+AO58+AO65+AO72+AO79+AO93+AO100+AO21+AO27+AO33+AO15+AO39</f>
        <v>0</v>
      </c>
      <c r="AP111" s="68">
        <f>AP8+AP51+AP58+AP65+AP72+AP79+AP93+AP100+AP21+AP27+AP33+AP15+AP39</f>
        <v>0</v>
      </c>
      <c r="AQ111" s="71">
        <f>AQ8+AQ51+AQ58+AQ65+AQ72+AQ79+AQ93+AQ100+AQ21+AQ27+AQ33+AQ39</f>
        <v>117454632.75000003</v>
      </c>
      <c r="AR111" s="71">
        <f>AR8+AR51+AR58+AR65+AR72+AR79+AR93+AR100+AR21+AR27+AR33+AR39</f>
        <v>46392475.099999994</v>
      </c>
      <c r="AS111" s="71">
        <f>AS8+AS51+AS58+AS65+AS72+AS79+AS93+AS100+AS21+AS27+AS33+AS15+AS39</f>
        <v>7551208.0300000003</v>
      </c>
      <c r="AT111" s="71">
        <f>AT8+AT51+AT58+AT65+AT72+AT79+AT93+AT100+AT21+AT27+AT33+AT15+AT39</f>
        <v>7551208.0300000003</v>
      </c>
      <c r="AU111" s="78">
        <f>AQ111/AM111-1</f>
        <v>0.4540685109858873</v>
      </c>
      <c r="AV111" s="78" t="e">
        <f>AS111/AO111-1</f>
        <v>#DIV/0!</v>
      </c>
      <c r="AW111" s="44"/>
    </row>
    <row r="112" spans="1:49" ht="42.6" customHeight="1">
      <c r="A112" s="127" t="s">
        <v>10</v>
      </c>
      <c r="B112" s="156"/>
      <c r="C112" s="2">
        <f t="shared" ref="C112:AD116" si="32">C10+C53+C60+C67+C74+C81+C88+C95+C102</f>
        <v>0</v>
      </c>
      <c r="D112" s="2">
        <f t="shared" si="32"/>
        <v>0</v>
      </c>
      <c r="E112" s="2">
        <f t="shared" si="32"/>
        <v>17953226.410000004</v>
      </c>
      <c r="F112" s="2">
        <f t="shared" si="32"/>
        <v>6382951.8399999943</v>
      </c>
      <c r="G112" s="2">
        <f t="shared" si="32"/>
        <v>19216097.170000002</v>
      </c>
      <c r="H112" s="2">
        <f t="shared" si="32"/>
        <v>6555841.7200000007</v>
      </c>
      <c r="I112" s="2">
        <f t="shared" si="32"/>
        <v>22865503.460000001</v>
      </c>
      <c r="J112" s="2">
        <f t="shared" si="32"/>
        <v>5864947.9199999999</v>
      </c>
      <c r="K112" s="2">
        <f t="shared" si="32"/>
        <v>17090632.079999998</v>
      </c>
      <c r="L112" s="2">
        <f t="shared" si="32"/>
        <v>5837825.0099999998</v>
      </c>
      <c r="M112" s="2">
        <f t="shared" si="32"/>
        <v>16099291.18</v>
      </c>
      <c r="N112" s="2">
        <f t="shared" si="32"/>
        <v>7784857.7199999997</v>
      </c>
      <c r="O112" s="2">
        <f t="shared" si="32"/>
        <v>16094244.300000001</v>
      </c>
      <c r="P112" s="2">
        <f t="shared" si="32"/>
        <v>7902977.2199999997</v>
      </c>
      <c r="Q112" s="2">
        <f t="shared" si="32"/>
        <v>20791692.359999999</v>
      </c>
      <c r="R112" s="2">
        <f t="shared" si="32"/>
        <v>7175180.9199999999</v>
      </c>
      <c r="S112" s="2">
        <f t="shared" si="32"/>
        <v>20070445.379999999</v>
      </c>
      <c r="T112" s="2">
        <f t="shared" si="32"/>
        <v>6987489.4900000002</v>
      </c>
      <c r="U112" s="2">
        <f t="shared" si="32"/>
        <v>24410984.270000003</v>
      </c>
      <c r="V112" s="2">
        <f t="shared" si="32"/>
        <v>4182653.4699999997</v>
      </c>
      <c r="W112" s="2">
        <f t="shared" si="32"/>
        <v>34358661.780000001</v>
      </c>
      <c r="X112" s="2">
        <f t="shared" si="32"/>
        <v>4756662.17</v>
      </c>
      <c r="Y112" s="2">
        <f t="shared" si="32"/>
        <v>37550191.880000003</v>
      </c>
      <c r="Z112" s="2">
        <f t="shared" si="32"/>
        <v>19969076.690000001</v>
      </c>
      <c r="AA112" s="16">
        <f t="shared" si="32"/>
        <v>78679277.219999999</v>
      </c>
      <c r="AB112" s="16">
        <f t="shared" si="32"/>
        <v>28544503.479999997</v>
      </c>
      <c r="AC112" s="16">
        <f t="shared" si="32"/>
        <v>97897786.019999981</v>
      </c>
      <c r="AD112" s="16">
        <f t="shared" si="32"/>
        <v>50095879.390000001</v>
      </c>
      <c r="AE112" s="16">
        <f t="shared" ref="AE112:AH116" si="33">AE10+AE53+AE60+AE67+AE74+AE81+AE95+AE102</f>
        <v>59026929.369999997</v>
      </c>
      <c r="AF112" s="16">
        <f t="shared" si="33"/>
        <v>219982.55</v>
      </c>
      <c r="AG112" s="16">
        <f t="shared" si="33"/>
        <v>3777110.1399999997</v>
      </c>
      <c r="AH112" s="16">
        <f t="shared" si="33"/>
        <v>0</v>
      </c>
      <c r="AI112" s="16">
        <f t="shared" ref="AI112:AL116" si="34">AI10+AI53+AI60+AI67+AI74+AI81+AI95+AI102+AI22+AI28+AI34</f>
        <v>48091910.589999996</v>
      </c>
      <c r="AJ112" s="16">
        <f t="shared" si="34"/>
        <v>121925.19</v>
      </c>
      <c r="AK112" s="16">
        <f t="shared" si="34"/>
        <v>571235</v>
      </c>
      <c r="AL112" s="16">
        <f t="shared" si="34"/>
        <v>571235</v>
      </c>
      <c r="AM112" s="16">
        <f>AM10+AM22+AM28+AM34+AM46+AM53+AM60+AM67+AM74+AM81+AM95+AM102+AM40+AM16</f>
        <v>38238020.859999992</v>
      </c>
      <c r="AN112" s="16">
        <f>AN10+AN22+AN28+AN34+AN46+AN53+AN60+AN67+AN74+AN81+AN95+AN102+AN16+AN40</f>
        <v>7778804.1399999997</v>
      </c>
      <c r="AO112" s="16">
        <f>AO10+AO22+AO28+AO34+AO46+AO53+AO60+AO67+AO74+AO81+AO95+AO102+AO16+AO40</f>
        <v>0</v>
      </c>
      <c r="AP112" s="16">
        <f>AP10+AP22+AP28+AP34+AP46+AP53+AP60+AP67+AP74+AP81+AP95+AP102+AP16+AP40</f>
        <v>0</v>
      </c>
      <c r="AQ112" s="16">
        <f>AQ10+AQ22+AQ28+AQ34+AQ46+AQ53+AQ60+AQ67+AQ74+AQ81+AQ95+AQ102+AQ40+AQ16</f>
        <v>49039446.060000002</v>
      </c>
      <c r="AR112" s="16">
        <f>AR10+AR22+AR28+AR34+AR46+AR53+AR60+AR67+AR74+AR81+AR95+AR102+AR16+AR40</f>
        <v>7987309.7400000002</v>
      </c>
      <c r="AS112" s="16">
        <f>AS10+AS22+AS28+AS34+AS46+AS53+AS60+AS67+AS74+AS81+AS95+AS102+AS16+AS40</f>
        <v>7551208.0300000003</v>
      </c>
      <c r="AT112" s="16">
        <f>AT10+AT22+AT28+AT34+AT46+AT53+AT60+AT67+AT74+AT81+AT95+AT102+AT16+AT40</f>
        <v>7551208.0300000003</v>
      </c>
      <c r="AU112" s="78"/>
      <c r="AV112" s="78"/>
      <c r="AW112" s="44"/>
    </row>
    <row r="113" spans="1:49">
      <c r="A113" s="127" t="s">
        <v>7</v>
      </c>
      <c r="B113" s="156"/>
      <c r="C113" s="2">
        <f t="shared" si="32"/>
        <v>0</v>
      </c>
      <c r="D113" s="2">
        <f t="shared" si="32"/>
        <v>0</v>
      </c>
      <c r="E113" s="2">
        <f t="shared" si="32"/>
        <v>0</v>
      </c>
      <c r="F113" s="2">
        <f t="shared" si="32"/>
        <v>0</v>
      </c>
      <c r="G113" s="2">
        <f t="shared" si="32"/>
        <v>1611249.67</v>
      </c>
      <c r="H113" s="2">
        <f t="shared" si="32"/>
        <v>0</v>
      </c>
      <c r="I113" s="2">
        <f t="shared" si="32"/>
        <v>1404831.87</v>
      </c>
      <c r="J113" s="2">
        <f t="shared" si="32"/>
        <v>0</v>
      </c>
      <c r="K113" s="2">
        <f t="shared" si="32"/>
        <v>2089553.3599999999</v>
      </c>
      <c r="L113" s="2">
        <f t="shared" si="32"/>
        <v>0</v>
      </c>
      <c r="M113" s="2">
        <f t="shared" si="32"/>
        <v>1291836.76</v>
      </c>
      <c r="N113" s="2">
        <f t="shared" si="32"/>
        <v>0</v>
      </c>
      <c r="O113" s="2">
        <f t="shared" si="32"/>
        <v>1343049.24</v>
      </c>
      <c r="P113" s="2">
        <f t="shared" si="32"/>
        <v>0</v>
      </c>
      <c r="Q113" s="2">
        <f t="shared" si="32"/>
        <v>1452525.99</v>
      </c>
      <c r="R113" s="2">
        <f t="shared" si="32"/>
        <v>0</v>
      </c>
      <c r="S113" s="2">
        <f t="shared" si="32"/>
        <v>1242140.78</v>
      </c>
      <c r="T113" s="2">
        <f t="shared" si="32"/>
        <v>0</v>
      </c>
      <c r="U113" s="2">
        <f t="shared" si="32"/>
        <v>1196585.6499999999</v>
      </c>
      <c r="V113" s="2">
        <f t="shared" si="32"/>
        <v>0</v>
      </c>
      <c r="W113" s="2">
        <f t="shared" si="32"/>
        <v>1283435.7</v>
      </c>
      <c r="X113" s="2">
        <f t="shared" si="32"/>
        <v>0</v>
      </c>
      <c r="Y113" s="2">
        <f t="shared" si="32"/>
        <v>0</v>
      </c>
      <c r="Z113" s="2">
        <f t="shared" si="32"/>
        <v>0</v>
      </c>
      <c r="AA113" s="16">
        <f t="shared" si="32"/>
        <v>28007459.789999999</v>
      </c>
      <c r="AB113" s="16">
        <f t="shared" si="32"/>
        <v>0</v>
      </c>
      <c r="AC113" s="16">
        <f t="shared" si="32"/>
        <v>33425614.419999998</v>
      </c>
      <c r="AD113" s="16">
        <f t="shared" si="32"/>
        <v>0</v>
      </c>
      <c r="AE113" s="16">
        <f t="shared" si="33"/>
        <v>36363970.560000002</v>
      </c>
      <c r="AF113" s="16">
        <f t="shared" si="33"/>
        <v>19065790.949999999</v>
      </c>
      <c r="AG113" s="16">
        <f t="shared" si="33"/>
        <v>0</v>
      </c>
      <c r="AH113" s="16">
        <f t="shared" si="33"/>
        <v>0</v>
      </c>
      <c r="AI113" s="16">
        <f t="shared" si="34"/>
        <v>34163653.079999998</v>
      </c>
      <c r="AJ113" s="16">
        <f t="shared" si="34"/>
        <v>16127711.879999999</v>
      </c>
      <c r="AK113" s="16">
        <f t="shared" si="34"/>
        <v>0</v>
      </c>
      <c r="AL113" s="16">
        <f t="shared" si="34"/>
        <v>0</v>
      </c>
      <c r="AM113" s="16">
        <f>AM11+AM23+AM29+AM35+AM47+AM54+AM61+AM68+AM75+AM82+AM96+AM103+AM17+AM41</f>
        <v>29409576.669999994</v>
      </c>
      <c r="AN113" s="16">
        <f>AN11+AN23+AN29+AN35+AN47+AN54+AN61+AN68+AN75+AN82+AN96+AN103+AN17+AN41</f>
        <v>18402119.850000001</v>
      </c>
      <c r="AO113" s="16">
        <f>AO11+AO23+AO29+AO35+AO47+AO54+AO61+AO68+AO75+AO82+AO96+AO103+AO17+AO41</f>
        <v>0</v>
      </c>
      <c r="AP113" s="16">
        <f>AP11+AP23+AP29+AP35+AP47+AP54+AP61+AP68+AP75+AP82+AP96+AP103+AP17+AP40</f>
        <v>0</v>
      </c>
      <c r="AQ113" s="16">
        <f>AQ11+AQ23+AQ29+AQ35+AQ47+AQ54+AQ61+AQ68+AQ75+AQ82+AQ96+AQ103+AQ17+AQ41</f>
        <v>42571532.030000009</v>
      </c>
      <c r="AR113" s="16">
        <f>AR11+AR23+AR29+AR35+AR47+AR54+AR61+AR68+AR75+AR82+AR96+AR103+AR17+AR41</f>
        <v>21383425.77</v>
      </c>
      <c r="AS113" s="16">
        <f>AS11+AS23+AS29+AS35+AS47+AS54+AS61+AS68+AS75+AS82+AS96+AS103+AS17+AS41</f>
        <v>0</v>
      </c>
      <c r="AT113" s="16">
        <f>AT11+AT23+AT29+AT35+AT47+AT54+AT61+AT68+AT75+AT82+AT96+AT103+AT17+AT40</f>
        <v>0</v>
      </c>
      <c r="AU113" s="78"/>
      <c r="AV113" s="78"/>
      <c r="AW113" s="44"/>
    </row>
    <row r="114" spans="1:49" ht="44.4" customHeight="1">
      <c r="A114" s="127" t="s">
        <v>8</v>
      </c>
      <c r="B114" s="156"/>
      <c r="C114" s="2">
        <f t="shared" si="32"/>
        <v>0</v>
      </c>
      <c r="D114" s="2">
        <f t="shared" si="32"/>
        <v>0</v>
      </c>
      <c r="E114" s="2">
        <f t="shared" si="32"/>
        <v>5781112.8999999994</v>
      </c>
      <c r="F114" s="2">
        <f t="shared" si="32"/>
        <v>0</v>
      </c>
      <c r="G114" s="2">
        <f t="shared" si="32"/>
        <v>841993.46</v>
      </c>
      <c r="H114" s="2">
        <f t="shared" si="32"/>
        <v>0</v>
      </c>
      <c r="I114" s="2">
        <f t="shared" si="32"/>
        <v>730672.66</v>
      </c>
      <c r="J114" s="2">
        <f t="shared" si="32"/>
        <v>0</v>
      </c>
      <c r="K114" s="2">
        <f t="shared" si="32"/>
        <v>907890.05999999994</v>
      </c>
      <c r="L114" s="2">
        <f t="shared" si="32"/>
        <v>0</v>
      </c>
      <c r="M114" s="2">
        <f t="shared" si="32"/>
        <v>596611.02</v>
      </c>
      <c r="N114" s="2">
        <f t="shared" si="32"/>
        <v>0</v>
      </c>
      <c r="O114" s="2">
        <f t="shared" si="32"/>
        <v>806056.14</v>
      </c>
      <c r="P114" s="2">
        <f t="shared" si="32"/>
        <v>0</v>
      </c>
      <c r="Q114" s="2">
        <f t="shared" si="32"/>
        <v>910579.46000000008</v>
      </c>
      <c r="R114" s="2">
        <f t="shared" si="32"/>
        <v>0</v>
      </c>
      <c r="S114" s="2">
        <f t="shared" si="32"/>
        <v>832315.84</v>
      </c>
      <c r="T114" s="2">
        <f t="shared" si="32"/>
        <v>0</v>
      </c>
      <c r="U114" s="2">
        <f t="shared" si="32"/>
        <v>786043.03</v>
      </c>
      <c r="V114" s="2">
        <f t="shared" si="32"/>
        <v>0</v>
      </c>
      <c r="W114" s="2">
        <f t="shared" si="32"/>
        <v>782576.37000000011</v>
      </c>
      <c r="X114" s="2">
        <f t="shared" si="32"/>
        <v>0</v>
      </c>
      <c r="Y114" s="2">
        <f t="shared" si="32"/>
        <v>4770499.5100000007</v>
      </c>
      <c r="Z114" s="2">
        <f t="shared" si="32"/>
        <v>0</v>
      </c>
      <c r="AA114" s="16">
        <f t="shared" si="32"/>
        <v>11517101.640000001</v>
      </c>
      <c r="AB114" s="16">
        <f t="shared" si="32"/>
        <v>0</v>
      </c>
      <c r="AC114" s="16">
        <f t="shared" si="32"/>
        <v>17884307.940000001</v>
      </c>
      <c r="AD114" s="16">
        <f t="shared" si="32"/>
        <v>11291466.59</v>
      </c>
      <c r="AE114" s="16">
        <f t="shared" si="33"/>
        <v>19682269.09</v>
      </c>
      <c r="AF114" s="16">
        <f t="shared" si="33"/>
        <v>9924703.2199999988</v>
      </c>
      <c r="AG114" s="16">
        <f t="shared" si="33"/>
        <v>0</v>
      </c>
      <c r="AH114" s="16">
        <f t="shared" si="33"/>
        <v>0</v>
      </c>
      <c r="AI114" s="16">
        <f t="shared" si="34"/>
        <v>19422993.020000003</v>
      </c>
      <c r="AJ114" s="16">
        <f t="shared" si="34"/>
        <v>9100808</v>
      </c>
      <c r="AK114" s="16">
        <f t="shared" si="34"/>
        <v>0</v>
      </c>
      <c r="AL114" s="16">
        <f t="shared" si="34"/>
        <v>0</v>
      </c>
      <c r="AM114" s="16">
        <f>AM12+AM24+AM30+AM36+AM48+AM55+AM62+AM69+AM76+AM83+AM97+AM104+AM18+AM42</f>
        <v>12055886.539999999</v>
      </c>
      <c r="AN114" s="16">
        <f>AN12+AN24+AN30+AN36+AN48+AN55+AN62+AN69+AN76+AN83+AN97+AN104+AO18+AN42</f>
        <v>7725839.5099999998</v>
      </c>
      <c r="AO114" s="16">
        <f t="shared" ref="AO114:AP116" si="35">AO12+AO24+AO30+AO36+AO48+AO55+AO62+AO69+AO76+AO83+AO97+AO104+AO18+AO42</f>
        <v>0</v>
      </c>
      <c r="AP114" s="16">
        <f t="shared" si="35"/>
        <v>0</v>
      </c>
      <c r="AQ114" s="16">
        <f>AQ12+AQ24+AQ30+AQ36+AQ48+AQ55+AQ62+AQ69+AQ76+AQ83+AQ97+AQ104+AQ18+AQ42</f>
        <v>18480268.27</v>
      </c>
      <c r="AR114" s="16">
        <f>AR12+AR24+AR30+AR36+AR48+AR55+AR62+AR69+AR76+AR83+AR97+AR104+AS18+AR42</f>
        <v>8861126.9900000002</v>
      </c>
      <c r="AS114" s="16">
        <f t="shared" ref="AS114:AT116" si="36">AS12+AS24+AS30+AS36+AS48+AS55+AS62+AS69+AS76+AS83+AS97+AS104+AS18+AS42</f>
        <v>0</v>
      </c>
      <c r="AT114" s="16">
        <f t="shared" si="36"/>
        <v>0</v>
      </c>
      <c r="AU114" s="78"/>
      <c r="AV114" s="78"/>
      <c r="AW114" s="44"/>
    </row>
    <row r="115" spans="1:49">
      <c r="A115" s="127" t="s">
        <v>9</v>
      </c>
      <c r="B115" s="156"/>
      <c r="C115" s="2">
        <f t="shared" ref="C115:Z115" si="37">C13+C56+C63+C70+C77+C84+C91+C98+C105+C108</f>
        <v>0</v>
      </c>
      <c r="D115" s="2">
        <f t="shared" si="37"/>
        <v>0</v>
      </c>
      <c r="E115" s="2">
        <f t="shared" si="37"/>
        <v>60461371.310000002</v>
      </c>
      <c r="F115" s="2">
        <f t="shared" si="37"/>
        <v>58245420.57</v>
      </c>
      <c r="G115" s="2">
        <f t="shared" si="37"/>
        <v>69929562.310000002</v>
      </c>
      <c r="H115" s="2">
        <f t="shared" si="37"/>
        <v>58525671.140000001</v>
      </c>
      <c r="I115" s="2">
        <f t="shared" si="37"/>
        <v>65526882.990000002</v>
      </c>
      <c r="J115" s="2">
        <f t="shared" si="37"/>
        <v>61624312.380000003</v>
      </c>
      <c r="K115" s="2">
        <f t="shared" si="37"/>
        <v>71721506.659999996</v>
      </c>
      <c r="L115" s="2">
        <f t="shared" si="37"/>
        <v>64774384.220000006</v>
      </c>
      <c r="M115" s="2">
        <f t="shared" si="37"/>
        <v>75480113.579999998</v>
      </c>
      <c r="N115" s="2">
        <f t="shared" si="37"/>
        <v>65031804.82</v>
      </c>
      <c r="O115" s="2">
        <f t="shared" si="37"/>
        <v>72791361.200000003</v>
      </c>
      <c r="P115" s="2">
        <f t="shared" si="37"/>
        <v>72572463.200000003</v>
      </c>
      <c r="Q115" s="2">
        <f t="shared" si="37"/>
        <v>72380297.609999999</v>
      </c>
      <c r="R115" s="2">
        <f t="shared" si="37"/>
        <v>65383680.850000001</v>
      </c>
      <c r="S115" s="2">
        <f t="shared" si="37"/>
        <v>72695876.399999991</v>
      </c>
      <c r="T115" s="2">
        <f t="shared" si="37"/>
        <v>65850024.600000001</v>
      </c>
      <c r="U115" s="2">
        <f t="shared" si="37"/>
        <v>69041659.049999997</v>
      </c>
      <c r="V115" s="2">
        <f t="shared" si="37"/>
        <v>68852972.399999991</v>
      </c>
      <c r="W115" s="2">
        <f t="shared" si="37"/>
        <v>65102023.400000006</v>
      </c>
      <c r="X115" s="2">
        <f t="shared" si="37"/>
        <v>64910950.400000006</v>
      </c>
      <c r="Y115" s="2">
        <f t="shared" si="37"/>
        <v>66208215.299999997</v>
      </c>
      <c r="Z115" s="2">
        <f t="shared" si="37"/>
        <v>65394874.099999994</v>
      </c>
      <c r="AA115" s="16">
        <f t="shared" si="32"/>
        <v>14182522.93</v>
      </c>
      <c r="AB115" s="16">
        <f t="shared" si="32"/>
        <v>12430432.640000001</v>
      </c>
      <c r="AC115" s="16">
        <f t="shared" si="32"/>
        <v>21526116.329999998</v>
      </c>
      <c r="AD115" s="16">
        <f t="shared" si="32"/>
        <v>20453326.48</v>
      </c>
      <c r="AE115" s="16">
        <f t="shared" si="33"/>
        <v>6002746.2800000012</v>
      </c>
      <c r="AF115" s="16">
        <f t="shared" si="33"/>
        <v>92285.57</v>
      </c>
      <c r="AG115" s="16">
        <f t="shared" si="33"/>
        <v>5647572.7300000004</v>
      </c>
      <c r="AH115" s="16">
        <f t="shared" si="33"/>
        <v>0</v>
      </c>
      <c r="AI115" s="16">
        <f t="shared" si="34"/>
        <v>500646.57</v>
      </c>
      <c r="AJ115" s="16">
        <f t="shared" si="34"/>
        <v>0</v>
      </c>
      <c r="AK115" s="16">
        <f t="shared" si="34"/>
        <v>381120</v>
      </c>
      <c r="AL115" s="16">
        <f t="shared" si="34"/>
        <v>0</v>
      </c>
      <c r="AM115" s="16">
        <f>AM13+AM25+AM31+AM37+AM49+AM56+AM63+AM70+AM77+AM84+AM98+AM105+AM19+AM43</f>
        <v>101526.20999999999</v>
      </c>
      <c r="AN115" s="16">
        <f>AN13+AN25+AN31+AN37+AN49+AN56+AN63+AN70+AN77+AN84+AN98+AN105+AN19+AN43</f>
        <v>64281.21</v>
      </c>
      <c r="AO115" s="16">
        <f t="shared" si="35"/>
        <v>0</v>
      </c>
      <c r="AP115" s="16">
        <f t="shared" si="35"/>
        <v>0</v>
      </c>
      <c r="AQ115" s="16">
        <f>AQ13+AQ25+AQ31+AQ37+AQ49+AQ56+AQ63+AQ70+AQ77+AQ84+AQ98+AQ105+AQ19+AQ43</f>
        <v>64517.21</v>
      </c>
      <c r="AR115" s="16">
        <f>AR13+AR25+AR31+AR37+AR49+AR56+AR63+AR70+AR77+AR84+AR98+AR105+AR19+AR43</f>
        <v>64517.21</v>
      </c>
      <c r="AS115" s="16">
        <f t="shared" si="36"/>
        <v>0</v>
      </c>
      <c r="AT115" s="16">
        <f t="shared" si="36"/>
        <v>0</v>
      </c>
      <c r="AU115" s="78"/>
      <c r="AV115" s="78"/>
      <c r="AW115" s="44"/>
    </row>
    <row r="116" spans="1:49">
      <c r="A116" s="127" t="s">
        <v>14</v>
      </c>
      <c r="B116" s="156"/>
      <c r="C116" s="2">
        <f t="shared" ref="C116:Z116" si="38">C14+C57+C64+C71+C78+C85+C92+C99+C106</f>
        <v>0</v>
      </c>
      <c r="D116" s="2">
        <f t="shared" si="38"/>
        <v>0</v>
      </c>
      <c r="E116" s="2">
        <f t="shared" si="38"/>
        <v>1669019.14</v>
      </c>
      <c r="F116" s="2">
        <f t="shared" si="38"/>
        <v>1882435.7999999998</v>
      </c>
      <c r="G116" s="2">
        <f t="shared" si="38"/>
        <v>1912163.48</v>
      </c>
      <c r="H116" s="2">
        <f t="shared" si="38"/>
        <v>1882435.8</v>
      </c>
      <c r="I116" s="2">
        <f t="shared" si="38"/>
        <v>1912257.9000000001</v>
      </c>
      <c r="J116" s="2">
        <f t="shared" si="38"/>
        <v>1882435.8</v>
      </c>
      <c r="K116" s="2">
        <f t="shared" si="38"/>
        <v>1882435.8</v>
      </c>
      <c r="L116" s="2">
        <f t="shared" si="38"/>
        <v>1882435.8</v>
      </c>
      <c r="M116" s="2">
        <f t="shared" si="38"/>
        <v>1882435.8</v>
      </c>
      <c r="N116" s="2">
        <f t="shared" si="38"/>
        <v>1882435.8</v>
      </c>
      <c r="O116" s="2">
        <f t="shared" si="38"/>
        <v>1918227.3900000001</v>
      </c>
      <c r="P116" s="2">
        <f t="shared" si="38"/>
        <v>1882435.8</v>
      </c>
      <c r="Q116" s="2">
        <f t="shared" si="38"/>
        <v>1914435.79</v>
      </c>
      <c r="R116" s="2">
        <f t="shared" si="38"/>
        <v>1882435.8</v>
      </c>
      <c r="S116" s="2">
        <f t="shared" si="38"/>
        <v>1914497.09</v>
      </c>
      <c r="T116" s="2">
        <f t="shared" si="38"/>
        <v>1882435.8</v>
      </c>
      <c r="U116" s="2">
        <f t="shared" si="38"/>
        <v>1917459.72</v>
      </c>
      <c r="V116" s="2">
        <f t="shared" si="38"/>
        <v>1882435.8</v>
      </c>
      <c r="W116" s="2">
        <f t="shared" si="38"/>
        <v>1904985.28</v>
      </c>
      <c r="X116" s="2">
        <f t="shared" si="38"/>
        <v>1882435.8</v>
      </c>
      <c r="Y116" s="2">
        <f t="shared" si="38"/>
        <v>30983920.480000004</v>
      </c>
      <c r="Z116" s="2">
        <f t="shared" si="38"/>
        <v>30913688.039999999</v>
      </c>
      <c r="AA116" s="16">
        <f t="shared" si="32"/>
        <v>4406576.5</v>
      </c>
      <c r="AB116" s="16">
        <f t="shared" si="32"/>
        <v>2369961.35</v>
      </c>
      <c r="AC116" s="16">
        <f t="shared" si="32"/>
        <v>40352793.869999997</v>
      </c>
      <c r="AD116" s="16">
        <f t="shared" si="32"/>
        <v>38134374.859999999</v>
      </c>
      <c r="AE116" s="16">
        <f t="shared" si="33"/>
        <v>7870302.5999999996</v>
      </c>
      <c r="AF116" s="16">
        <f t="shared" si="33"/>
        <v>2860480.3600000003</v>
      </c>
      <c r="AG116" s="16">
        <f t="shared" si="33"/>
        <v>5005157.24</v>
      </c>
      <c r="AH116" s="16">
        <f t="shared" si="33"/>
        <v>0</v>
      </c>
      <c r="AI116" s="16">
        <f t="shared" si="34"/>
        <v>8026868.0799999991</v>
      </c>
      <c r="AJ116" s="16">
        <f t="shared" si="34"/>
        <v>847221.52</v>
      </c>
      <c r="AK116" s="16">
        <f t="shared" si="34"/>
        <v>0</v>
      </c>
      <c r="AL116" s="16">
        <f t="shared" si="34"/>
        <v>0</v>
      </c>
      <c r="AM116" s="16">
        <f>AM14+AM26+AM32+AM38+AM50+AM57+AM64+AM71+AM78+AM85+AM99+AM106+AM20+AM44</f>
        <v>1324931.1499999999</v>
      </c>
      <c r="AN116" s="16">
        <f>AN14+AN26+AN32+AN38+AN50+AN57+AN64+AN71+AN78+AN85+AN99+AN106+AN20+AN44</f>
        <v>1128483.68</v>
      </c>
      <c r="AO116" s="16">
        <f t="shared" si="35"/>
        <v>0</v>
      </c>
      <c r="AP116" s="16">
        <f t="shared" si="35"/>
        <v>0</v>
      </c>
      <c r="AQ116" s="16">
        <f>AQ14+AQ26+AQ32+AQ38+AQ50+AQ57+AQ64+AQ71+AQ78+AQ85+AQ99+AQ106+AQ20+AQ44</f>
        <v>8593657.5899999999</v>
      </c>
      <c r="AR116" s="16">
        <f>AR14+AR26+AR32+AR38+AR50+AR57+AR64+AR71+AR78+AR85+AR99+AR106+AR20+AR44</f>
        <v>8096095.3899999997</v>
      </c>
      <c r="AS116" s="16">
        <f t="shared" si="36"/>
        <v>0</v>
      </c>
      <c r="AT116" s="16">
        <f t="shared" si="36"/>
        <v>0</v>
      </c>
      <c r="AU116" s="78"/>
      <c r="AV116" s="78"/>
      <c r="AW116" s="44"/>
    </row>
    <row r="117" spans="1:49">
      <c r="A117" s="157" t="s">
        <v>17</v>
      </c>
      <c r="B117" s="156"/>
      <c r="C117" s="3">
        <v>19700824</v>
      </c>
      <c r="D117" s="3"/>
      <c r="E117" s="3">
        <v>30646350</v>
      </c>
      <c r="F117" s="3"/>
      <c r="G117" s="3">
        <v>30646350</v>
      </c>
      <c r="H117" s="3"/>
      <c r="I117" s="3">
        <v>30646350</v>
      </c>
      <c r="J117" s="3"/>
      <c r="K117" s="3">
        <v>30646350</v>
      </c>
      <c r="L117" s="3"/>
      <c r="M117" s="3">
        <v>30646350</v>
      </c>
      <c r="N117" s="3"/>
      <c r="O117" s="3">
        <v>30646350</v>
      </c>
      <c r="P117" s="3"/>
      <c r="Q117" s="3">
        <v>30646350</v>
      </c>
      <c r="R117" s="3"/>
      <c r="S117" s="3">
        <v>39646350</v>
      </c>
      <c r="T117" s="3"/>
      <c r="U117" s="3">
        <v>39646350</v>
      </c>
      <c r="V117" s="3"/>
      <c r="W117" s="3">
        <v>39646350</v>
      </c>
      <c r="X117" s="3"/>
      <c r="Y117" s="3">
        <v>39592849</v>
      </c>
      <c r="Z117" s="3"/>
      <c r="AA117" s="22">
        <v>43884741</v>
      </c>
      <c r="AB117" s="18"/>
      <c r="AC117" s="22">
        <v>38729175</v>
      </c>
      <c r="AD117" s="18"/>
      <c r="AE117" s="22">
        <v>1250000</v>
      </c>
      <c r="AF117" s="22"/>
      <c r="AG117" s="22"/>
      <c r="AH117" s="22"/>
      <c r="AI117" s="22">
        <v>0</v>
      </c>
      <c r="AJ117" s="22"/>
      <c r="AK117" s="22"/>
      <c r="AL117" s="22"/>
      <c r="AM117" s="22">
        <v>20316355.16</v>
      </c>
      <c r="AN117" s="22"/>
      <c r="AO117" s="22"/>
      <c r="AP117" s="22"/>
      <c r="AQ117" s="22">
        <v>16500000</v>
      </c>
      <c r="AR117" s="22"/>
      <c r="AS117" s="22"/>
      <c r="AT117" s="22"/>
      <c r="AU117" s="78"/>
      <c r="AV117" s="78"/>
      <c r="AW117" s="44"/>
    </row>
    <row r="118" spans="1:49">
      <c r="A118" s="157" t="s">
        <v>18</v>
      </c>
      <c r="B118" s="156"/>
      <c r="C118" s="3">
        <f t="shared" ref="C118:AA118" si="39">C111+C117</f>
        <v>114288501.81999999</v>
      </c>
      <c r="D118" s="3">
        <f t="shared" si="39"/>
        <v>68008770.719999999</v>
      </c>
      <c r="E118" s="3">
        <f t="shared" si="39"/>
        <v>116511079.75999999</v>
      </c>
      <c r="F118" s="3">
        <f t="shared" si="39"/>
        <v>66510808.209999993</v>
      </c>
      <c r="G118" s="3">
        <f t="shared" si="39"/>
        <v>124157416.09000002</v>
      </c>
      <c r="H118" s="3">
        <f t="shared" si="39"/>
        <v>66963948.660000004</v>
      </c>
      <c r="I118" s="3">
        <f t="shared" si="39"/>
        <v>123086498.88000001</v>
      </c>
      <c r="J118" s="3">
        <f t="shared" si="39"/>
        <v>69371696.100000009</v>
      </c>
      <c r="K118" s="3">
        <f t="shared" si="39"/>
        <v>124338367.95999999</v>
      </c>
      <c r="L118" s="3">
        <f t="shared" si="39"/>
        <v>72494645.030000001</v>
      </c>
      <c r="M118" s="3">
        <f t="shared" si="39"/>
        <v>125996638.34</v>
      </c>
      <c r="N118" s="3">
        <f t="shared" si="39"/>
        <v>74699098.340000004</v>
      </c>
      <c r="O118" s="3">
        <f t="shared" si="39"/>
        <v>123599288.27</v>
      </c>
      <c r="P118" s="3">
        <f t="shared" si="39"/>
        <v>82357876.220000014</v>
      </c>
      <c r="Q118" s="3">
        <f t="shared" si="39"/>
        <v>128095881.20999998</v>
      </c>
      <c r="R118" s="3">
        <f t="shared" si="39"/>
        <v>74441297.569999993</v>
      </c>
      <c r="S118" s="3">
        <f t="shared" si="39"/>
        <v>136401625.49000001</v>
      </c>
      <c r="T118" s="3">
        <f t="shared" si="39"/>
        <v>74719949.890000001</v>
      </c>
      <c r="U118" s="3">
        <f t="shared" si="39"/>
        <v>136999081.71999997</v>
      </c>
      <c r="V118" s="3">
        <f t="shared" si="39"/>
        <v>74918061.669999987</v>
      </c>
      <c r="W118" s="3">
        <f t="shared" si="39"/>
        <v>143078032.53</v>
      </c>
      <c r="X118" s="3">
        <f t="shared" si="39"/>
        <v>71550048.36999999</v>
      </c>
      <c r="Y118" s="3">
        <f t="shared" si="39"/>
        <v>179105676.16999999</v>
      </c>
      <c r="Z118" s="3">
        <f t="shared" si="39"/>
        <v>116277638.82999998</v>
      </c>
      <c r="AA118" s="22">
        <f t="shared" si="39"/>
        <v>180677679.08000001</v>
      </c>
      <c r="AB118" s="22">
        <f>AB111+AB117</f>
        <v>43344897.469999999</v>
      </c>
      <c r="AC118" s="22">
        <f t="shared" ref="AC118:AT118" si="40">AC111+AC117</f>
        <v>249815793.58000001</v>
      </c>
      <c r="AD118" s="22">
        <f t="shared" si="40"/>
        <v>119975047.31999999</v>
      </c>
      <c r="AE118" s="22">
        <f t="shared" si="40"/>
        <v>130196217.90000001</v>
      </c>
      <c r="AF118" s="22">
        <f t="shared" si="40"/>
        <v>32163242.649999999</v>
      </c>
      <c r="AG118" s="22">
        <f t="shared" si="40"/>
        <v>14429840.109999999</v>
      </c>
      <c r="AH118" s="22">
        <f t="shared" si="40"/>
        <v>0</v>
      </c>
      <c r="AI118" s="22">
        <f t="shared" si="40"/>
        <v>110206071.34</v>
      </c>
      <c r="AJ118" s="22">
        <f t="shared" si="40"/>
        <v>26197666.589999996</v>
      </c>
      <c r="AK118" s="22">
        <f t="shared" si="40"/>
        <v>952355</v>
      </c>
      <c r="AL118" s="22">
        <f t="shared" si="40"/>
        <v>571235</v>
      </c>
      <c r="AM118" s="22">
        <f t="shared" si="40"/>
        <v>101092901.7</v>
      </c>
      <c r="AN118" s="22">
        <f t="shared" si="40"/>
        <v>35099528.390000001</v>
      </c>
      <c r="AO118" s="22">
        <f t="shared" si="40"/>
        <v>0</v>
      </c>
      <c r="AP118" s="22">
        <f t="shared" si="40"/>
        <v>0</v>
      </c>
      <c r="AQ118" s="22">
        <f t="shared" si="40"/>
        <v>133954632.75000003</v>
      </c>
      <c r="AR118" s="22">
        <f t="shared" si="40"/>
        <v>46392475.099999994</v>
      </c>
      <c r="AS118" s="22">
        <f t="shared" si="40"/>
        <v>7551208.0300000003</v>
      </c>
      <c r="AT118" s="22">
        <f t="shared" si="40"/>
        <v>7551208.0300000003</v>
      </c>
      <c r="AU118" s="78">
        <f>AQ118/AM118-1</f>
        <v>0.32506467316092502</v>
      </c>
      <c r="AV118" s="78" t="e">
        <f>AS118/AO118-1</f>
        <v>#DIV/0!</v>
      </c>
      <c r="AW118" s="44"/>
    </row>
    <row r="119" spans="1:49">
      <c r="A119" s="127" t="s">
        <v>19</v>
      </c>
      <c r="B119" s="156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15"/>
      <c r="AB119" s="15"/>
      <c r="AC119" s="15"/>
      <c r="AD119" s="15"/>
      <c r="AE119" s="15"/>
      <c r="AF119" s="15"/>
      <c r="AG119" s="15"/>
      <c r="AH119" s="15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</row>
    <row r="120" spans="1:49">
      <c r="A120" s="127" t="s">
        <v>24</v>
      </c>
      <c r="B120" s="156"/>
      <c r="C120" s="4">
        <v>102575991</v>
      </c>
      <c r="D120" s="4">
        <v>63430848.460000001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</row>
    <row r="121" spans="1:49">
      <c r="A121" s="127" t="s">
        <v>23</v>
      </c>
      <c r="B121" s="156"/>
      <c r="C121" s="4">
        <f>C118-C120</f>
        <v>11712510.819999993</v>
      </c>
      <c r="D121" s="4">
        <f>D118-D120</f>
        <v>4577922.2599999979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</row>
    <row r="122" spans="1:49">
      <c r="A122" s="127" t="s">
        <v>37</v>
      </c>
      <c r="B122" s="156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21">
        <v>2369961.35</v>
      </c>
      <c r="AB122" s="21">
        <v>2369961.35</v>
      </c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</row>
    <row r="123" spans="1:49"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</row>
    <row r="124" spans="1:49"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</row>
    <row r="125" spans="1:49"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</row>
    <row r="126" spans="1:49"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</row>
    <row r="127" spans="1:49"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</row>
    <row r="128" spans="1:49"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</row>
    <row r="129" spans="35:48"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</row>
    <row r="130" spans="35:48"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</row>
    <row r="131" spans="35:48"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</row>
    <row r="132" spans="35:48"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</row>
  </sheetData>
  <mergeCells count="517">
    <mergeCell ref="A118:B118"/>
    <mergeCell ref="A119:B119"/>
    <mergeCell ref="A120:B120"/>
    <mergeCell ref="A121:B121"/>
    <mergeCell ref="A122:B122"/>
    <mergeCell ref="A112:B112"/>
    <mergeCell ref="A113:B113"/>
    <mergeCell ref="A114:B114"/>
    <mergeCell ref="A115:B115"/>
    <mergeCell ref="A116:B116"/>
    <mergeCell ref="A117:B117"/>
    <mergeCell ref="A106:B106"/>
    <mergeCell ref="AU107:AU108"/>
    <mergeCell ref="AV107:AV108"/>
    <mergeCell ref="A108:B108"/>
    <mergeCell ref="A109:B109"/>
    <mergeCell ref="A111:B111"/>
    <mergeCell ref="AU100:AU101"/>
    <mergeCell ref="AV100:AV101"/>
    <mergeCell ref="A102:B102"/>
    <mergeCell ref="A103:B103"/>
    <mergeCell ref="A104:B104"/>
    <mergeCell ref="A105:B105"/>
    <mergeCell ref="AO100:AO101"/>
    <mergeCell ref="AP100:AP101"/>
    <mergeCell ref="AQ100:AQ101"/>
    <mergeCell ref="AR100:AR101"/>
    <mergeCell ref="AS100:AS101"/>
    <mergeCell ref="AT100:AT101"/>
    <mergeCell ref="AI100:AI101"/>
    <mergeCell ref="AJ100:AJ101"/>
    <mergeCell ref="AK100:AK101"/>
    <mergeCell ref="AL100:AL101"/>
    <mergeCell ref="AM100:AM101"/>
    <mergeCell ref="AN100:AN101"/>
    <mergeCell ref="AC100:AC101"/>
    <mergeCell ref="AD100:AD101"/>
    <mergeCell ref="AE100:AE101"/>
    <mergeCell ref="AF100:AF101"/>
    <mergeCell ref="AG100:AG101"/>
    <mergeCell ref="AH100:AH101"/>
    <mergeCell ref="W100:W101"/>
    <mergeCell ref="X100:X101"/>
    <mergeCell ref="Y100:Y101"/>
    <mergeCell ref="Z100:Z101"/>
    <mergeCell ref="AA100:AA101"/>
    <mergeCell ref="AB100:AB101"/>
    <mergeCell ref="Q100:Q101"/>
    <mergeCell ref="R100:R101"/>
    <mergeCell ref="S100:S101"/>
    <mergeCell ref="T100:T101"/>
    <mergeCell ref="U100:U101"/>
    <mergeCell ref="V100:V101"/>
    <mergeCell ref="K100:K101"/>
    <mergeCell ref="L100:L101"/>
    <mergeCell ref="M100:M101"/>
    <mergeCell ref="N100:N101"/>
    <mergeCell ref="O100:O101"/>
    <mergeCell ref="P100:P101"/>
    <mergeCell ref="E100:E101"/>
    <mergeCell ref="F100:F101"/>
    <mergeCell ref="G100:G101"/>
    <mergeCell ref="H100:H101"/>
    <mergeCell ref="I100:I101"/>
    <mergeCell ref="J100:J101"/>
    <mergeCell ref="A97:B97"/>
    <mergeCell ref="A98:B98"/>
    <mergeCell ref="A99:B99"/>
    <mergeCell ref="A100:B101"/>
    <mergeCell ref="C100:C101"/>
    <mergeCell ref="D100:D101"/>
    <mergeCell ref="AO93:AO94"/>
    <mergeCell ref="AP93:AP94"/>
    <mergeCell ref="AU93:AU94"/>
    <mergeCell ref="AV93:AV94"/>
    <mergeCell ref="A95:B95"/>
    <mergeCell ref="A96:B96"/>
    <mergeCell ref="AI93:AI94"/>
    <mergeCell ref="AJ93:AJ94"/>
    <mergeCell ref="AK93:AK94"/>
    <mergeCell ref="AL93:AL94"/>
    <mergeCell ref="AM93:AM94"/>
    <mergeCell ref="AN93:AN94"/>
    <mergeCell ref="AC93:AC94"/>
    <mergeCell ref="AD93:AD94"/>
    <mergeCell ref="AE93:AE94"/>
    <mergeCell ref="AF93:AF94"/>
    <mergeCell ref="AG93:AG94"/>
    <mergeCell ref="AH93:AH94"/>
    <mergeCell ref="W93:W94"/>
    <mergeCell ref="X93:X94"/>
    <mergeCell ref="Y93:Y94"/>
    <mergeCell ref="Z93:Z94"/>
    <mergeCell ref="AA93:AA94"/>
    <mergeCell ref="AB93:AB94"/>
    <mergeCell ref="Q93:Q94"/>
    <mergeCell ref="R93:R94"/>
    <mergeCell ref="S93:S94"/>
    <mergeCell ref="T93:T94"/>
    <mergeCell ref="U93:U94"/>
    <mergeCell ref="V93:V94"/>
    <mergeCell ref="K93:K94"/>
    <mergeCell ref="L93:L94"/>
    <mergeCell ref="M93:M94"/>
    <mergeCell ref="N93:N94"/>
    <mergeCell ref="O93:O94"/>
    <mergeCell ref="P93:P94"/>
    <mergeCell ref="E93:E94"/>
    <mergeCell ref="F93:F94"/>
    <mergeCell ref="G93:G94"/>
    <mergeCell ref="H93:H94"/>
    <mergeCell ref="I93:I94"/>
    <mergeCell ref="J93:J94"/>
    <mergeCell ref="A90:B90"/>
    <mergeCell ref="A91:B91"/>
    <mergeCell ref="A92:B92"/>
    <mergeCell ref="A93:B94"/>
    <mergeCell ref="C93:C94"/>
    <mergeCell ref="D93:D94"/>
    <mergeCell ref="Y86:Y87"/>
    <mergeCell ref="Z86:Z87"/>
    <mergeCell ref="AU86:AU87"/>
    <mergeCell ref="AV86:AV87"/>
    <mergeCell ref="A88:B88"/>
    <mergeCell ref="A89:B89"/>
    <mergeCell ref="S86:S87"/>
    <mergeCell ref="T86:T87"/>
    <mergeCell ref="U86:U87"/>
    <mergeCell ref="V86:V87"/>
    <mergeCell ref="W86:W87"/>
    <mergeCell ref="X86:X87"/>
    <mergeCell ref="M86:M87"/>
    <mergeCell ref="N86:N87"/>
    <mergeCell ref="O86:O87"/>
    <mergeCell ref="P86:P87"/>
    <mergeCell ref="Q86:Q87"/>
    <mergeCell ref="R86:R87"/>
    <mergeCell ref="G86:G87"/>
    <mergeCell ref="H86:H87"/>
    <mergeCell ref="I86:I87"/>
    <mergeCell ref="J86:J87"/>
    <mergeCell ref="K86:K87"/>
    <mergeCell ref="L86:L87"/>
    <mergeCell ref="A85:B85"/>
    <mergeCell ref="A86:B87"/>
    <mergeCell ref="C86:C87"/>
    <mergeCell ref="D86:D87"/>
    <mergeCell ref="E86:E87"/>
    <mergeCell ref="F86:F87"/>
    <mergeCell ref="AU79:AU80"/>
    <mergeCell ref="AV79:AV80"/>
    <mergeCell ref="A81:B81"/>
    <mergeCell ref="A82:B82"/>
    <mergeCell ref="A83:B83"/>
    <mergeCell ref="A84:B84"/>
    <mergeCell ref="AO79:AO80"/>
    <mergeCell ref="AP79:AP80"/>
    <mergeCell ref="AQ79:AQ80"/>
    <mergeCell ref="AR79:AR80"/>
    <mergeCell ref="AS79:AS80"/>
    <mergeCell ref="AT79:AT80"/>
    <mergeCell ref="AI79:AI80"/>
    <mergeCell ref="AJ79:AJ80"/>
    <mergeCell ref="AK79:AK80"/>
    <mergeCell ref="AL79:AL80"/>
    <mergeCell ref="AM79:AM80"/>
    <mergeCell ref="AN79:AN80"/>
    <mergeCell ref="AC79:AC80"/>
    <mergeCell ref="AD79:AD80"/>
    <mergeCell ref="AE79:AE80"/>
    <mergeCell ref="AF79:AF80"/>
    <mergeCell ref="AG79:AG80"/>
    <mergeCell ref="AH79:AH80"/>
    <mergeCell ref="W79:W80"/>
    <mergeCell ref="X79:X80"/>
    <mergeCell ref="Y79:Y80"/>
    <mergeCell ref="Z79:Z80"/>
    <mergeCell ref="AA79:AA80"/>
    <mergeCell ref="AB79:AB80"/>
    <mergeCell ref="Q79:Q80"/>
    <mergeCell ref="R79:R80"/>
    <mergeCell ref="S79:S80"/>
    <mergeCell ref="T79:T80"/>
    <mergeCell ref="U79:U80"/>
    <mergeCell ref="V79:V80"/>
    <mergeCell ref="K79:K80"/>
    <mergeCell ref="L79:L80"/>
    <mergeCell ref="M79:M80"/>
    <mergeCell ref="N79:N80"/>
    <mergeCell ref="O79:O80"/>
    <mergeCell ref="P79:P80"/>
    <mergeCell ref="E79:E80"/>
    <mergeCell ref="F79:F80"/>
    <mergeCell ref="G79:G80"/>
    <mergeCell ref="H79:H80"/>
    <mergeCell ref="I79:I80"/>
    <mergeCell ref="J79:J80"/>
    <mergeCell ref="A76:B76"/>
    <mergeCell ref="A77:B77"/>
    <mergeCell ref="A78:B78"/>
    <mergeCell ref="A79:B80"/>
    <mergeCell ref="C79:C80"/>
    <mergeCell ref="D79:D80"/>
    <mergeCell ref="AS72:AS73"/>
    <mergeCell ref="AT72:AT73"/>
    <mergeCell ref="AU72:AU73"/>
    <mergeCell ref="AV72:AV73"/>
    <mergeCell ref="A74:B74"/>
    <mergeCell ref="A75:B75"/>
    <mergeCell ref="AM72:AM73"/>
    <mergeCell ref="AN72:AN73"/>
    <mergeCell ref="AO72:AO73"/>
    <mergeCell ref="AP72:AP73"/>
    <mergeCell ref="AQ72:AQ73"/>
    <mergeCell ref="AR72:AR73"/>
    <mergeCell ref="AG72:AG73"/>
    <mergeCell ref="AH72:AH73"/>
    <mergeCell ref="AI72:AI73"/>
    <mergeCell ref="AJ72:AJ73"/>
    <mergeCell ref="AK72:AK73"/>
    <mergeCell ref="AL72:AL73"/>
    <mergeCell ref="AA72:AA73"/>
    <mergeCell ref="AB72:AB73"/>
    <mergeCell ref="AC72:AC73"/>
    <mergeCell ref="AD72:AD73"/>
    <mergeCell ref="AE72:AE73"/>
    <mergeCell ref="AF72:AF73"/>
    <mergeCell ref="U72:U73"/>
    <mergeCell ref="V72:V73"/>
    <mergeCell ref="W72:W73"/>
    <mergeCell ref="X72:X73"/>
    <mergeCell ref="Y72:Y73"/>
    <mergeCell ref="Z72:Z73"/>
    <mergeCell ref="O72:O73"/>
    <mergeCell ref="P72:P73"/>
    <mergeCell ref="Q72:Q73"/>
    <mergeCell ref="R72:R73"/>
    <mergeCell ref="S72:S73"/>
    <mergeCell ref="T72:T73"/>
    <mergeCell ref="I72:I73"/>
    <mergeCell ref="J72:J73"/>
    <mergeCell ref="K72:K73"/>
    <mergeCell ref="L72:L73"/>
    <mergeCell ref="M72:M73"/>
    <mergeCell ref="N72:N73"/>
    <mergeCell ref="C72:C73"/>
    <mergeCell ref="D72:D73"/>
    <mergeCell ref="E72:E73"/>
    <mergeCell ref="F72:F73"/>
    <mergeCell ref="G72:G73"/>
    <mergeCell ref="H72:H73"/>
    <mergeCell ref="A67:B67"/>
    <mergeCell ref="A68:B68"/>
    <mergeCell ref="A69:B69"/>
    <mergeCell ref="A70:B70"/>
    <mergeCell ref="A71:B71"/>
    <mergeCell ref="A72:B73"/>
    <mergeCell ref="AQ65:AQ66"/>
    <mergeCell ref="AR65:AR66"/>
    <mergeCell ref="AS65:AS66"/>
    <mergeCell ref="AE65:AE66"/>
    <mergeCell ref="AF65:AF66"/>
    <mergeCell ref="AG65:AG66"/>
    <mergeCell ref="AH65:AH66"/>
    <mergeCell ref="AI65:AI66"/>
    <mergeCell ref="AJ65:AJ66"/>
    <mergeCell ref="Y65:Y66"/>
    <mergeCell ref="Z65:Z66"/>
    <mergeCell ref="AA65:AA66"/>
    <mergeCell ref="AB65:AB66"/>
    <mergeCell ref="AC65:AC66"/>
    <mergeCell ref="AD65:AD66"/>
    <mergeCell ref="S65:S66"/>
    <mergeCell ref="T65:T66"/>
    <mergeCell ref="U65:U66"/>
    <mergeCell ref="AT65:AT66"/>
    <mergeCell ref="AU65:AU66"/>
    <mergeCell ref="AV65:AV66"/>
    <mergeCell ref="AK65:AK66"/>
    <mergeCell ref="AL65:AL66"/>
    <mergeCell ref="AM65:AM66"/>
    <mergeCell ref="AN65:AN66"/>
    <mergeCell ref="AO65:AO66"/>
    <mergeCell ref="AP65:AP66"/>
    <mergeCell ref="V65:V66"/>
    <mergeCell ref="W65:W66"/>
    <mergeCell ref="X65:X66"/>
    <mergeCell ref="M65:M66"/>
    <mergeCell ref="N65:N66"/>
    <mergeCell ref="O65:O66"/>
    <mergeCell ref="P65:P66"/>
    <mergeCell ref="Q65:Q66"/>
    <mergeCell ref="R65:R66"/>
    <mergeCell ref="G65:G66"/>
    <mergeCell ref="H65:H66"/>
    <mergeCell ref="I65:I66"/>
    <mergeCell ref="J65:J66"/>
    <mergeCell ref="K65:K66"/>
    <mergeCell ref="L65:L66"/>
    <mergeCell ref="A64:B64"/>
    <mergeCell ref="A65:B66"/>
    <mergeCell ref="C65:C66"/>
    <mergeCell ref="D65:D66"/>
    <mergeCell ref="E65:E66"/>
    <mergeCell ref="F65:F66"/>
    <mergeCell ref="AU58:AU59"/>
    <mergeCell ref="AV58:AV59"/>
    <mergeCell ref="A60:B60"/>
    <mergeCell ref="A61:B61"/>
    <mergeCell ref="A62:B62"/>
    <mergeCell ref="A63:B63"/>
    <mergeCell ref="AO58:AO59"/>
    <mergeCell ref="AP58:AP59"/>
    <mergeCell ref="AQ58:AQ59"/>
    <mergeCell ref="AR58:AR59"/>
    <mergeCell ref="AS58:AS59"/>
    <mergeCell ref="AT58:AT59"/>
    <mergeCell ref="AI58:AI59"/>
    <mergeCell ref="AJ58:AJ59"/>
    <mergeCell ref="AK58:AK59"/>
    <mergeCell ref="AL58:AL59"/>
    <mergeCell ref="AM58:AM59"/>
    <mergeCell ref="AN58:AN59"/>
    <mergeCell ref="AC58:AC59"/>
    <mergeCell ref="AD58:AD59"/>
    <mergeCell ref="AE58:AE59"/>
    <mergeCell ref="AF58:AF59"/>
    <mergeCell ref="AG58:AG59"/>
    <mergeCell ref="AH58:AH59"/>
    <mergeCell ref="W58:W59"/>
    <mergeCell ref="X58:X59"/>
    <mergeCell ref="Y58:Y59"/>
    <mergeCell ref="Z58:Z59"/>
    <mergeCell ref="AA58:AA59"/>
    <mergeCell ref="AB58:AB59"/>
    <mergeCell ref="Q58:Q59"/>
    <mergeCell ref="R58:R59"/>
    <mergeCell ref="S58:S59"/>
    <mergeCell ref="T58:T59"/>
    <mergeCell ref="U58:U59"/>
    <mergeCell ref="V58:V59"/>
    <mergeCell ref="K58:K59"/>
    <mergeCell ref="L58:L59"/>
    <mergeCell ref="M58:M59"/>
    <mergeCell ref="N58:N59"/>
    <mergeCell ref="O58:O59"/>
    <mergeCell ref="P58:P59"/>
    <mergeCell ref="E58:E59"/>
    <mergeCell ref="F58:F59"/>
    <mergeCell ref="G58:G59"/>
    <mergeCell ref="H58:H59"/>
    <mergeCell ref="I58:I59"/>
    <mergeCell ref="J58:J59"/>
    <mergeCell ref="A55:B55"/>
    <mergeCell ref="A56:B56"/>
    <mergeCell ref="A57:B57"/>
    <mergeCell ref="A58:B59"/>
    <mergeCell ref="C58:C59"/>
    <mergeCell ref="D58:D59"/>
    <mergeCell ref="AS51:AS52"/>
    <mergeCell ref="AT51:AT52"/>
    <mergeCell ref="AU51:AU52"/>
    <mergeCell ref="X51:X52"/>
    <mergeCell ref="Y51:Y52"/>
    <mergeCell ref="Z51:Z52"/>
    <mergeCell ref="O51:O52"/>
    <mergeCell ref="P51:P52"/>
    <mergeCell ref="Q51:Q52"/>
    <mergeCell ref="R51:R52"/>
    <mergeCell ref="S51:S52"/>
    <mergeCell ref="T51:T52"/>
    <mergeCell ref="I51:I52"/>
    <mergeCell ref="J51:J52"/>
    <mergeCell ref="K51:K52"/>
    <mergeCell ref="L51:L52"/>
    <mergeCell ref="M51:M52"/>
    <mergeCell ref="N51:N52"/>
    <mergeCell ref="AV51:AV52"/>
    <mergeCell ref="A53:B53"/>
    <mergeCell ref="A54:B54"/>
    <mergeCell ref="AM51:AM52"/>
    <mergeCell ref="AN51:AN52"/>
    <mergeCell ref="AO51:AO52"/>
    <mergeCell ref="AP51:AP52"/>
    <mergeCell ref="AQ51:AQ52"/>
    <mergeCell ref="AR51:AR52"/>
    <mergeCell ref="AG51:AG52"/>
    <mergeCell ref="AH51:AH52"/>
    <mergeCell ref="AI51:AI52"/>
    <mergeCell ref="AJ51:AJ52"/>
    <mergeCell ref="AK51:AK52"/>
    <mergeCell ref="AL51:AL52"/>
    <mergeCell ref="AA51:AA52"/>
    <mergeCell ref="AB51:AB52"/>
    <mergeCell ref="AC51:AC52"/>
    <mergeCell ref="AD51:AD52"/>
    <mergeCell ref="AE51:AE52"/>
    <mergeCell ref="AF51:AF52"/>
    <mergeCell ref="U51:U52"/>
    <mergeCell ref="V51:V52"/>
    <mergeCell ref="W51:W52"/>
    <mergeCell ref="C51:C52"/>
    <mergeCell ref="D51:D52"/>
    <mergeCell ref="E51:E52"/>
    <mergeCell ref="F51:F52"/>
    <mergeCell ref="G51:G52"/>
    <mergeCell ref="H51:H52"/>
    <mergeCell ref="A46:B46"/>
    <mergeCell ref="A47:B47"/>
    <mergeCell ref="A48:B48"/>
    <mergeCell ref="A49:B49"/>
    <mergeCell ref="A50:B50"/>
    <mergeCell ref="A51:B52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Q8:AQ9"/>
    <mergeCell ref="AR8:AR9"/>
    <mergeCell ref="AS8:AS9"/>
    <mergeCell ref="AT8:AT9"/>
    <mergeCell ref="AU8:AU9"/>
    <mergeCell ref="AV8:AV9"/>
    <mergeCell ref="AK8:AK9"/>
    <mergeCell ref="AL8:AL9"/>
    <mergeCell ref="AM8:AM9"/>
    <mergeCell ref="AN8:AN9"/>
    <mergeCell ref="AO8:AO9"/>
    <mergeCell ref="AP8:AP9"/>
    <mergeCell ref="P8:P9"/>
    <mergeCell ref="Q8:Q9"/>
    <mergeCell ref="R8:R9"/>
    <mergeCell ref="AE8:AE9"/>
    <mergeCell ref="AF8:AF9"/>
    <mergeCell ref="AG8:AG9"/>
    <mergeCell ref="AH8:AH9"/>
    <mergeCell ref="AI8:AI9"/>
    <mergeCell ref="AJ8:AJ9"/>
    <mergeCell ref="Y8:Y9"/>
    <mergeCell ref="Z8:Z9"/>
    <mergeCell ref="AA8:AA9"/>
    <mergeCell ref="AB8:AB9"/>
    <mergeCell ref="AC8:AC9"/>
    <mergeCell ref="AD8:AD9"/>
    <mergeCell ref="A8:B9"/>
    <mergeCell ref="C8:C9"/>
    <mergeCell ref="D8:D9"/>
    <mergeCell ref="E8:E9"/>
    <mergeCell ref="F8:F9"/>
    <mergeCell ref="S5:T6"/>
    <mergeCell ref="U5:V6"/>
    <mergeCell ref="W5:X6"/>
    <mergeCell ref="Y5:Z6"/>
    <mergeCell ref="G8:G9"/>
    <mergeCell ref="H8:H9"/>
    <mergeCell ref="I8:I9"/>
    <mergeCell ref="J8:J9"/>
    <mergeCell ref="K8:K9"/>
    <mergeCell ref="L8:L9"/>
    <mergeCell ref="S8:S9"/>
    <mergeCell ref="T8:T9"/>
    <mergeCell ref="U8:U9"/>
    <mergeCell ref="V8:V9"/>
    <mergeCell ref="W8:W9"/>
    <mergeCell ref="X8:X9"/>
    <mergeCell ref="M8:M9"/>
    <mergeCell ref="N8:N9"/>
    <mergeCell ref="O8:O9"/>
    <mergeCell ref="B1:AU4"/>
    <mergeCell ref="A5:B7"/>
    <mergeCell ref="C5:D6"/>
    <mergeCell ref="E5:F6"/>
    <mergeCell ref="G5:H6"/>
    <mergeCell ref="I5:J6"/>
    <mergeCell ref="K5:L6"/>
    <mergeCell ref="M5:N6"/>
    <mergeCell ref="O5:P6"/>
    <mergeCell ref="Q5:R6"/>
    <mergeCell ref="AQ5:AT6"/>
    <mergeCell ref="AU5:AV6"/>
    <mergeCell ref="AA5:AB6"/>
    <mergeCell ref="AC5:AD6"/>
    <mergeCell ref="AE5:AH6"/>
    <mergeCell ref="AI5:AL6"/>
    <mergeCell ref="AM5:AP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5</vt:i4>
      </vt:variant>
    </vt:vector>
  </HeadingPairs>
  <TitlesOfParts>
    <vt:vector size="16" baseType="lpstr">
      <vt:lpstr>Лист3</vt:lpstr>
      <vt:lpstr>Лист4</vt:lpstr>
      <vt:lpstr>Лист5</vt:lpstr>
      <vt:lpstr>Лист6</vt:lpstr>
      <vt:lpstr>Лист7</vt:lpstr>
      <vt:lpstr>Лист8</vt:lpstr>
      <vt:lpstr>январь</vt:lpstr>
      <vt:lpstr>февраль</vt:lpstr>
      <vt:lpstr>март</vt:lpstr>
      <vt:lpstr>апрель</vt:lpstr>
      <vt:lpstr>май</vt:lpstr>
      <vt:lpstr>апрель!Заголовки_для_печати</vt:lpstr>
      <vt:lpstr>май!Заголовки_для_печати</vt:lpstr>
      <vt:lpstr>март!Заголовки_для_печати</vt:lpstr>
      <vt:lpstr>февраль!Заголовки_для_печати</vt:lpstr>
      <vt:lpstr>январь!Заголовки_для_печати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Васина</dc:creator>
  <cp:lastModifiedBy>Форсунова</cp:lastModifiedBy>
  <cp:lastPrinted>2021-06-22T10:31:10Z</cp:lastPrinted>
  <dcterms:created xsi:type="dcterms:W3CDTF">2012-01-13T10:18:29Z</dcterms:created>
  <dcterms:modified xsi:type="dcterms:W3CDTF">2021-06-22T11:00:15Z</dcterms:modified>
</cp:coreProperties>
</file>