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зинская ЕА\Desktop\"/>
    </mc:Choice>
  </mc:AlternateContent>
  <xr:revisionPtr revIDLastSave="0" documentId="8_{ED22901B-853C-4FA1-BAA9-4B911C2A14AF}" xr6:coauthVersionLast="45" xr6:coauthVersionMax="45" xr10:uidLastSave="{00000000-0000-0000-0000-000000000000}"/>
  <bookViews>
    <workbookView xWindow="-120" yWindow="-120" windowWidth="29040" windowHeight="15840" firstSheet="6" activeTab="17" xr2:uid="{00000000-000D-0000-FFFF-FFFF00000000}"/>
  </bookViews>
  <sheets>
    <sheet name="Лист3" sheetId="3" state="hidden" r:id="rId1"/>
    <sheet name="Лист4" sheetId="4" state="hidden" r:id="rId2"/>
    <sheet name="Лист5" sheetId="5" state="hidden" r:id="rId3"/>
    <sheet name="Лист6" sheetId="6" state="hidden" r:id="rId4"/>
    <sheet name="Лист7" sheetId="7" state="hidden" r:id="rId5"/>
    <sheet name="Лист8" sheetId="8" state="hidden" r:id="rId6"/>
    <sheet name="январь" sheetId="61" r:id="rId7"/>
    <sheet name="февраль" sheetId="62" r:id="rId8"/>
    <sheet name="март" sheetId="63" r:id="rId9"/>
    <sheet name="апрель" sheetId="64" r:id="rId10"/>
    <sheet name="май" sheetId="65" r:id="rId11"/>
    <sheet name="июнь" sheetId="66" r:id="rId12"/>
    <sheet name="июль" sheetId="67" r:id="rId13"/>
    <sheet name="август" sheetId="68" r:id="rId14"/>
    <sheet name="сентябрь" sheetId="69" r:id="rId15"/>
    <sheet name="октябрь" sheetId="70" r:id="rId16"/>
    <sheet name="ноябрь" sheetId="71" r:id="rId17"/>
    <sheet name="декабрь" sheetId="72" r:id="rId18"/>
  </sheets>
  <definedNames>
    <definedName name="_xlnm.Print_Titles" localSheetId="17">декабрь!$5:$7</definedName>
    <definedName name="_xlnm.Print_Titles" localSheetId="12">июль!$5:$7</definedName>
    <definedName name="_xlnm.Print_Titles" localSheetId="16">ноябрь!$5:$7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0" i="72" l="1"/>
  <c r="AM65" i="72"/>
  <c r="AM64" i="72"/>
  <c r="AM63" i="72"/>
  <c r="AP8" i="72"/>
  <c r="AO8" i="72"/>
  <c r="AR8" i="72" s="1"/>
  <c r="AO45" i="72"/>
  <c r="AO40" i="72" s="1"/>
  <c r="AN44" i="72"/>
  <c r="AN96" i="72" s="1"/>
  <c r="AN43" i="72"/>
  <c r="AN42" i="72"/>
  <c r="AM45" i="72"/>
  <c r="AM44" i="72"/>
  <c r="AM43" i="72"/>
  <c r="AM42" i="72"/>
  <c r="AM16" i="72"/>
  <c r="AM15" i="72" s="1"/>
  <c r="AM59" i="72"/>
  <c r="AM58" i="72"/>
  <c r="AM57" i="72"/>
  <c r="AM56" i="72"/>
  <c r="AM49" i="72"/>
  <c r="AM35" i="72"/>
  <c r="AP98" i="72"/>
  <c r="AO98" i="72"/>
  <c r="AN98" i="72"/>
  <c r="AM98" i="72"/>
  <c r="AL98" i="72"/>
  <c r="AK98" i="72"/>
  <c r="AH98" i="72"/>
  <c r="AG98" i="72"/>
  <c r="AF98" i="72"/>
  <c r="AD98" i="72"/>
  <c r="AB98" i="72"/>
  <c r="Z98" i="72"/>
  <c r="Y98" i="72"/>
  <c r="X98" i="72"/>
  <c r="W98" i="72"/>
  <c r="V98" i="72"/>
  <c r="U98" i="72"/>
  <c r="T98" i="72"/>
  <c r="S98" i="72"/>
  <c r="R98" i="72"/>
  <c r="Q98" i="72"/>
  <c r="P98" i="72"/>
  <c r="O98" i="72"/>
  <c r="N98" i="72"/>
  <c r="M98" i="72"/>
  <c r="L98" i="72"/>
  <c r="K98" i="72"/>
  <c r="J98" i="72"/>
  <c r="H98" i="72"/>
  <c r="E98" i="72"/>
  <c r="D98" i="72"/>
  <c r="C98" i="72"/>
  <c r="AP97" i="72"/>
  <c r="AN97" i="72"/>
  <c r="AL97" i="72"/>
  <c r="AJ97" i="72"/>
  <c r="AH97" i="72"/>
  <c r="AF97" i="72"/>
  <c r="AD97" i="72"/>
  <c r="AB97" i="72"/>
  <c r="Z97" i="72"/>
  <c r="Y97" i="72"/>
  <c r="F97" i="72"/>
  <c r="E97" i="72"/>
  <c r="D97" i="72"/>
  <c r="C97" i="72"/>
  <c r="AP96" i="72"/>
  <c r="AO96" i="72"/>
  <c r="AL96" i="72"/>
  <c r="AK96" i="72"/>
  <c r="AB96" i="72"/>
  <c r="Z96" i="72"/>
  <c r="Y96" i="72"/>
  <c r="X96" i="72"/>
  <c r="V96" i="72"/>
  <c r="T96" i="72"/>
  <c r="R96" i="72"/>
  <c r="P96" i="72"/>
  <c r="N96" i="72"/>
  <c r="M96" i="72"/>
  <c r="L96" i="72"/>
  <c r="J96" i="72"/>
  <c r="H96" i="72"/>
  <c r="F96" i="72"/>
  <c r="E96" i="72"/>
  <c r="D96" i="72"/>
  <c r="C96" i="72"/>
  <c r="AP95" i="72"/>
  <c r="AO95" i="72"/>
  <c r="AN95" i="72"/>
  <c r="AL95" i="72"/>
  <c r="AK95" i="72"/>
  <c r="AH95" i="72"/>
  <c r="AG95" i="72"/>
  <c r="AD95" i="72"/>
  <c r="AB95" i="72"/>
  <c r="Z95" i="72"/>
  <c r="Y95" i="72"/>
  <c r="X95" i="72"/>
  <c r="V95" i="72"/>
  <c r="T95" i="72"/>
  <c r="R95" i="72"/>
  <c r="P95" i="72"/>
  <c r="N95" i="72"/>
  <c r="M95" i="72"/>
  <c r="L95" i="72"/>
  <c r="J95" i="72"/>
  <c r="H95" i="72"/>
  <c r="F95" i="72"/>
  <c r="E95" i="72"/>
  <c r="D95" i="72"/>
  <c r="C95" i="72"/>
  <c r="AP94" i="72"/>
  <c r="AO94" i="72"/>
  <c r="AN94" i="72"/>
  <c r="AL94" i="72"/>
  <c r="AK94" i="72"/>
  <c r="AH94" i="72"/>
  <c r="Y94" i="72"/>
  <c r="E94" i="72"/>
  <c r="D94" i="72"/>
  <c r="C94" i="72"/>
  <c r="D91" i="72"/>
  <c r="C91" i="72"/>
  <c r="Z89" i="72"/>
  <c r="Y89" i="72"/>
  <c r="X89" i="72"/>
  <c r="W89" i="72"/>
  <c r="V89" i="72"/>
  <c r="U89" i="72"/>
  <c r="T89" i="72"/>
  <c r="S89" i="72"/>
  <c r="R89" i="72"/>
  <c r="Q89" i="72"/>
  <c r="P89" i="72"/>
  <c r="O89" i="72"/>
  <c r="N89" i="72"/>
  <c r="M89" i="72"/>
  <c r="L89" i="72"/>
  <c r="K89" i="72"/>
  <c r="J89" i="72"/>
  <c r="I89" i="72"/>
  <c r="H89" i="72"/>
  <c r="G89" i="72"/>
  <c r="F89" i="72"/>
  <c r="E89" i="72"/>
  <c r="AP82" i="72"/>
  <c r="AO82" i="72"/>
  <c r="AR82" i="72" s="1"/>
  <c r="AN82" i="72"/>
  <c r="AM82" i="72"/>
  <c r="AL82" i="72"/>
  <c r="AJ82" i="72"/>
  <c r="AI82" i="72"/>
  <c r="AH82" i="72"/>
  <c r="AG82" i="72"/>
  <c r="AF82" i="72"/>
  <c r="AE82" i="72"/>
  <c r="AD82" i="72"/>
  <c r="AC82" i="72"/>
  <c r="AB82" i="72"/>
  <c r="AA82" i="72"/>
  <c r="Z82" i="72"/>
  <c r="Y82" i="72"/>
  <c r="X82" i="72"/>
  <c r="W82" i="72"/>
  <c r="V82" i="72"/>
  <c r="U82" i="72"/>
  <c r="T82" i="72"/>
  <c r="S82" i="72"/>
  <c r="R82" i="72"/>
  <c r="Q82" i="72"/>
  <c r="P82" i="72"/>
  <c r="O82" i="72"/>
  <c r="N82" i="72"/>
  <c r="M82" i="72"/>
  <c r="L82" i="72"/>
  <c r="K82" i="72"/>
  <c r="J82" i="72"/>
  <c r="I82" i="72"/>
  <c r="H82" i="72"/>
  <c r="G82" i="72"/>
  <c r="F82" i="72"/>
  <c r="E82" i="72"/>
  <c r="D82" i="72"/>
  <c r="I81" i="72"/>
  <c r="I98" i="72" s="1"/>
  <c r="G81" i="72"/>
  <c r="G98" i="72" s="1"/>
  <c r="AA80" i="72"/>
  <c r="AC79" i="72"/>
  <c r="AE78" i="72"/>
  <c r="AE75" i="72" s="1"/>
  <c r="AC78" i="72"/>
  <c r="AA78" i="72"/>
  <c r="AA75" i="72" s="1"/>
  <c r="AD77" i="72"/>
  <c r="AD94" i="72" s="1"/>
  <c r="AC77" i="72"/>
  <c r="AB77" i="72"/>
  <c r="AB75" i="72" s="1"/>
  <c r="AA77" i="72"/>
  <c r="X77" i="72"/>
  <c r="X75" i="72" s="1"/>
  <c r="W77" i="72"/>
  <c r="W75" i="72" s="1"/>
  <c r="V77" i="72"/>
  <c r="U77" i="72"/>
  <c r="U75" i="72" s="1"/>
  <c r="T77" i="72"/>
  <c r="T94" i="72" s="1"/>
  <c r="S77" i="72"/>
  <c r="P77" i="72"/>
  <c r="P75" i="72" s="1"/>
  <c r="O77" i="72"/>
  <c r="L77" i="72"/>
  <c r="L94" i="72" s="1"/>
  <c r="K77" i="72"/>
  <c r="K75" i="72" s="1"/>
  <c r="J77" i="72"/>
  <c r="J94" i="72" s="1"/>
  <c r="I77" i="72"/>
  <c r="H77" i="72"/>
  <c r="G77" i="72"/>
  <c r="F77" i="72"/>
  <c r="AP75" i="72"/>
  <c r="AO75" i="72"/>
  <c r="AR75" i="72" s="1"/>
  <c r="AN75" i="72"/>
  <c r="AM75" i="72"/>
  <c r="AI75" i="72"/>
  <c r="AH75" i="72"/>
  <c r="AG75" i="72"/>
  <c r="AF75" i="72"/>
  <c r="AD75" i="72"/>
  <c r="Z75" i="72"/>
  <c r="Y75" i="72"/>
  <c r="V75" i="72"/>
  <c r="T75" i="72"/>
  <c r="S75" i="72"/>
  <c r="R75" i="72"/>
  <c r="Q75" i="72"/>
  <c r="O75" i="72"/>
  <c r="N75" i="72"/>
  <c r="M75" i="72"/>
  <c r="J75" i="72"/>
  <c r="H75" i="72"/>
  <c r="G75" i="72"/>
  <c r="F75" i="72"/>
  <c r="E75" i="72"/>
  <c r="D75" i="72"/>
  <c r="Z68" i="72"/>
  <c r="Y68" i="72"/>
  <c r="AQ68" i="72" s="1"/>
  <c r="X68" i="72"/>
  <c r="W68" i="72"/>
  <c r="V68" i="72"/>
  <c r="U68" i="72"/>
  <c r="T68" i="72"/>
  <c r="S68" i="72"/>
  <c r="R68" i="72"/>
  <c r="Q68" i="72"/>
  <c r="P68" i="72"/>
  <c r="O68" i="72"/>
  <c r="N68" i="72"/>
  <c r="M68" i="72"/>
  <c r="L68" i="72"/>
  <c r="K68" i="72"/>
  <c r="J68" i="72"/>
  <c r="I68" i="72"/>
  <c r="H68" i="72"/>
  <c r="G68" i="72"/>
  <c r="F68" i="72"/>
  <c r="E68" i="72"/>
  <c r="D68" i="72"/>
  <c r="AG66" i="72"/>
  <c r="AE66" i="72"/>
  <c r="AC66" i="72"/>
  <c r="AC97" i="72" s="1"/>
  <c r="AA66" i="72"/>
  <c r="AA97" i="72" s="1"/>
  <c r="W66" i="72"/>
  <c r="Q66" i="72"/>
  <c r="Q61" i="72" s="1"/>
  <c r="P66" i="72"/>
  <c r="O66" i="72"/>
  <c r="L66" i="72"/>
  <c r="K66" i="72"/>
  <c r="J66" i="72"/>
  <c r="I66" i="72"/>
  <c r="I61" i="72" s="1"/>
  <c r="H66" i="72"/>
  <c r="G66" i="72"/>
  <c r="G61" i="72" s="1"/>
  <c r="AI65" i="72"/>
  <c r="AG65" i="72"/>
  <c r="AE65" i="72"/>
  <c r="AC65" i="72"/>
  <c r="AA65" i="72"/>
  <c r="AI64" i="72"/>
  <c r="AE64" i="72"/>
  <c r="AC64" i="72"/>
  <c r="AC61" i="72" s="1"/>
  <c r="AA64" i="72"/>
  <c r="AI63" i="72"/>
  <c r="AE63" i="72"/>
  <c r="AE61" i="72" s="1"/>
  <c r="AC63" i="72"/>
  <c r="AA63" i="72"/>
  <c r="Z63" i="72"/>
  <c r="Z94" i="72" s="1"/>
  <c r="W63" i="72"/>
  <c r="W61" i="72" s="1"/>
  <c r="U63" i="72"/>
  <c r="U61" i="72" s="1"/>
  <c r="S63" i="72"/>
  <c r="P63" i="72"/>
  <c r="P94" i="72" s="1"/>
  <c r="O63" i="72"/>
  <c r="N63" i="72"/>
  <c r="N61" i="72" s="1"/>
  <c r="M63" i="72"/>
  <c r="K63" i="72"/>
  <c r="K61" i="72" s="1"/>
  <c r="I63" i="72"/>
  <c r="H63" i="72"/>
  <c r="H94" i="72" s="1"/>
  <c r="G63" i="72"/>
  <c r="AP61" i="72"/>
  <c r="AO61" i="72"/>
  <c r="AR61" i="72" s="1"/>
  <c r="AK61" i="72"/>
  <c r="AH61" i="72"/>
  <c r="AG61" i="72"/>
  <c r="AF61" i="72"/>
  <c r="AD61" i="72"/>
  <c r="AB61" i="72"/>
  <c r="Y61" i="72"/>
  <c r="X61" i="72"/>
  <c r="V61" i="72"/>
  <c r="T61" i="72"/>
  <c r="S61" i="72"/>
  <c r="R61" i="72"/>
  <c r="P61" i="72"/>
  <c r="M61" i="72"/>
  <c r="L61" i="72"/>
  <c r="J61" i="72"/>
  <c r="F61" i="72"/>
  <c r="E61" i="72"/>
  <c r="AI60" i="72"/>
  <c r="AE60" i="72"/>
  <c r="AC60" i="72"/>
  <c r="AI59" i="72"/>
  <c r="AE59" i="72"/>
  <c r="W59" i="72"/>
  <c r="O59" i="72"/>
  <c r="AJ58" i="72"/>
  <c r="AI58" i="72"/>
  <c r="AH58" i="72"/>
  <c r="AH96" i="72" s="1"/>
  <c r="AF58" i="72"/>
  <c r="AE58" i="72" s="1"/>
  <c r="AD58" i="72"/>
  <c r="AD96" i="72" s="1"/>
  <c r="AC58" i="72"/>
  <c r="AA58" i="72"/>
  <c r="W58" i="72"/>
  <c r="W96" i="72" s="1"/>
  <c r="U58" i="72"/>
  <c r="U96" i="72" s="1"/>
  <c r="S58" i="72"/>
  <c r="S96" i="72" s="1"/>
  <c r="Q58" i="72"/>
  <c r="Q96" i="72" s="1"/>
  <c r="O58" i="72"/>
  <c r="O96" i="72" s="1"/>
  <c r="K58" i="72"/>
  <c r="K96" i="72" s="1"/>
  <c r="I58" i="72"/>
  <c r="I96" i="72" s="1"/>
  <c r="G58" i="72"/>
  <c r="G96" i="72" s="1"/>
  <c r="AJ57" i="72"/>
  <c r="AI57" i="72"/>
  <c r="AF57" i="72"/>
  <c r="AF95" i="72" s="1"/>
  <c r="AC57" i="72"/>
  <c r="AA57" i="72"/>
  <c r="W57" i="72"/>
  <c r="W95" i="72" s="1"/>
  <c r="U57" i="72"/>
  <c r="U95" i="72" s="1"/>
  <c r="S57" i="72"/>
  <c r="S95" i="72" s="1"/>
  <c r="Q57" i="72"/>
  <c r="Q95" i="72" s="1"/>
  <c r="O57" i="72"/>
  <c r="O95" i="72" s="1"/>
  <c r="K57" i="72"/>
  <c r="K95" i="72" s="1"/>
  <c r="I57" i="72"/>
  <c r="I95" i="72" s="1"/>
  <c r="G57" i="72"/>
  <c r="AJ56" i="72"/>
  <c r="AI56" i="72"/>
  <c r="AF56" i="72"/>
  <c r="AE56" i="72"/>
  <c r="AC56" i="72"/>
  <c r="AA56" i="72"/>
  <c r="AA54" i="72" s="1"/>
  <c r="W56" i="72"/>
  <c r="W54" i="72" s="1"/>
  <c r="V56" i="72"/>
  <c r="V54" i="72" s="1"/>
  <c r="U56" i="72"/>
  <c r="S56" i="72"/>
  <c r="Q56" i="72"/>
  <c r="O56" i="72"/>
  <c r="O54" i="72" s="1"/>
  <c r="M56" i="72"/>
  <c r="M54" i="72" s="1"/>
  <c r="K56" i="72"/>
  <c r="K54" i="72" s="1"/>
  <c r="I56" i="72"/>
  <c r="G56" i="72"/>
  <c r="AP54" i="72"/>
  <c r="AO54" i="72"/>
  <c r="AR54" i="72" s="1"/>
  <c r="AN54" i="72"/>
  <c r="AH54" i="72"/>
  <c r="AG54" i="72"/>
  <c r="AD54" i="72"/>
  <c r="AB54" i="72"/>
  <c r="Z54" i="72"/>
  <c r="Y54" i="72"/>
  <c r="X54" i="72"/>
  <c r="T54" i="72"/>
  <c r="R54" i="72"/>
  <c r="P54" i="72"/>
  <c r="N54" i="72"/>
  <c r="L54" i="72"/>
  <c r="J54" i="72"/>
  <c r="H54" i="72"/>
  <c r="F54" i="72"/>
  <c r="E54" i="72"/>
  <c r="D54" i="72"/>
  <c r="AI51" i="72"/>
  <c r="AI50" i="72"/>
  <c r="AI49" i="72"/>
  <c r="AI47" i="72" s="1"/>
  <c r="AP47" i="72"/>
  <c r="AO47" i="72"/>
  <c r="AR47" i="72" s="1"/>
  <c r="AN47" i="72"/>
  <c r="AL47" i="72"/>
  <c r="AJ47" i="72"/>
  <c r="AH47" i="72"/>
  <c r="AG47" i="72"/>
  <c r="AF47" i="72"/>
  <c r="AE47" i="72"/>
  <c r="AD47" i="72"/>
  <c r="AC47" i="72"/>
  <c r="AB47" i="72"/>
  <c r="AA47" i="72"/>
  <c r="Z47" i="72"/>
  <c r="Y47" i="72"/>
  <c r="X47" i="72"/>
  <c r="W47" i="72"/>
  <c r="V47" i="72"/>
  <c r="U47" i="72"/>
  <c r="T47" i="72"/>
  <c r="S47" i="72"/>
  <c r="R47" i="72"/>
  <c r="Q47" i="72"/>
  <c r="P47" i="72"/>
  <c r="O47" i="72"/>
  <c r="N47" i="72"/>
  <c r="M47" i="72"/>
  <c r="L47" i="72"/>
  <c r="K47" i="72"/>
  <c r="J47" i="72"/>
  <c r="I47" i="72"/>
  <c r="H47" i="72"/>
  <c r="G47" i="72"/>
  <c r="F47" i="72"/>
  <c r="E47" i="72"/>
  <c r="D47" i="72"/>
  <c r="AJ46" i="72"/>
  <c r="AJ98" i="72" s="1"/>
  <c r="AI46" i="72"/>
  <c r="AE46" i="72"/>
  <c r="AE98" i="72" s="1"/>
  <c r="AC46" i="72"/>
  <c r="AA46" i="72"/>
  <c r="AA98" i="72" s="1"/>
  <c r="AO97" i="72"/>
  <c r="AK45" i="72"/>
  <c r="AK97" i="72" s="1"/>
  <c r="AI45" i="72"/>
  <c r="AI97" i="72" s="1"/>
  <c r="AG45" i="72"/>
  <c r="AG97" i="72" s="1"/>
  <c r="AE45" i="72"/>
  <c r="X45" i="72"/>
  <c r="W45" i="72"/>
  <c r="W97" i="72" s="1"/>
  <c r="V45" i="72"/>
  <c r="V97" i="72" s="1"/>
  <c r="U45" i="72"/>
  <c r="U97" i="72" s="1"/>
  <c r="T45" i="72"/>
  <c r="T40" i="72" s="1"/>
  <c r="S45" i="72"/>
  <c r="S97" i="72" s="1"/>
  <c r="R45" i="72"/>
  <c r="R97" i="72" s="1"/>
  <c r="Q45" i="72"/>
  <c r="P45" i="72"/>
  <c r="P97" i="72" s="1"/>
  <c r="O45" i="72"/>
  <c r="O40" i="72" s="1"/>
  <c r="N45" i="72"/>
  <c r="N97" i="72" s="1"/>
  <c r="M45" i="72"/>
  <c r="M97" i="72" s="1"/>
  <c r="L45" i="72"/>
  <c r="L40" i="72" s="1"/>
  <c r="K45" i="72"/>
  <c r="K97" i="72" s="1"/>
  <c r="J45" i="72"/>
  <c r="J97" i="72" s="1"/>
  <c r="I45" i="72"/>
  <c r="H45" i="72"/>
  <c r="H97" i="72" s="1"/>
  <c r="G45" i="72"/>
  <c r="AJ44" i="72"/>
  <c r="AJ96" i="72" s="1"/>
  <c r="AI44" i="72"/>
  <c r="AG44" i="72"/>
  <c r="AG96" i="72" s="1"/>
  <c r="AE44" i="72"/>
  <c r="AC44" i="72"/>
  <c r="AC96" i="72" s="1"/>
  <c r="AA44" i="72"/>
  <c r="AA96" i="72" s="1"/>
  <c r="AJ43" i="72"/>
  <c r="AI43" i="72"/>
  <c r="AE43" i="72"/>
  <c r="AC43" i="72"/>
  <c r="AA43" i="72"/>
  <c r="AJ42" i="72"/>
  <c r="AI42" i="72"/>
  <c r="AG42" i="72"/>
  <c r="AE42" i="72"/>
  <c r="AC42" i="72"/>
  <c r="AA42" i="72"/>
  <c r="AA94" i="72" s="1"/>
  <c r="X42" i="72"/>
  <c r="X94" i="72" s="1"/>
  <c r="W42" i="72"/>
  <c r="V42" i="72"/>
  <c r="V94" i="72" s="1"/>
  <c r="U42" i="72"/>
  <c r="U94" i="72" s="1"/>
  <c r="S42" i="72"/>
  <c r="R42" i="72"/>
  <c r="R94" i="72" s="1"/>
  <c r="Q42" i="72"/>
  <c r="Q94" i="72" s="1"/>
  <c r="F42" i="72"/>
  <c r="F40" i="72" s="1"/>
  <c r="AP40" i="72"/>
  <c r="AM40" i="72"/>
  <c r="AL40" i="72"/>
  <c r="AK40" i="72"/>
  <c r="AK93" i="72" s="1"/>
  <c r="AK100" i="72" s="1"/>
  <c r="AH40" i="72"/>
  <c r="AF40" i="72"/>
  <c r="AE40" i="72"/>
  <c r="AD40" i="72"/>
  <c r="AB40" i="72"/>
  <c r="Z40" i="72"/>
  <c r="Y40" i="72"/>
  <c r="V40" i="72"/>
  <c r="Q40" i="72"/>
  <c r="N40" i="72"/>
  <c r="J40" i="72"/>
  <c r="I40" i="72"/>
  <c r="E40" i="72"/>
  <c r="AI35" i="72"/>
  <c r="AG35" i="72"/>
  <c r="AE35" i="72"/>
  <c r="AE33" i="72" s="1"/>
  <c r="AC35" i="72"/>
  <c r="AC94" i="72" s="1"/>
  <c r="S35" i="72"/>
  <c r="AP33" i="72"/>
  <c r="AO33" i="72"/>
  <c r="AR33" i="72" s="1"/>
  <c r="AN33" i="72"/>
  <c r="AM33" i="72"/>
  <c r="AL33" i="72"/>
  <c r="AJ33" i="72"/>
  <c r="AI33" i="72"/>
  <c r="AH33" i="72"/>
  <c r="AG33" i="72"/>
  <c r="AF33" i="72"/>
  <c r="AD33" i="72"/>
  <c r="AB33" i="72"/>
  <c r="AA33" i="72"/>
  <c r="Z33" i="72"/>
  <c r="Y33" i="72"/>
  <c r="X33" i="72"/>
  <c r="W33" i="72"/>
  <c r="V33" i="72"/>
  <c r="U33" i="72"/>
  <c r="T33" i="72"/>
  <c r="S33" i="72"/>
  <c r="R33" i="72"/>
  <c r="Q33" i="72"/>
  <c r="P33" i="72"/>
  <c r="O33" i="72"/>
  <c r="N33" i="72"/>
  <c r="M33" i="72"/>
  <c r="L33" i="72"/>
  <c r="K33" i="72"/>
  <c r="J33" i="72"/>
  <c r="I33" i="72"/>
  <c r="H33" i="72"/>
  <c r="G33" i="72"/>
  <c r="F33" i="72"/>
  <c r="E33" i="72"/>
  <c r="D33" i="72"/>
  <c r="C33" i="72"/>
  <c r="C93" i="72" s="1"/>
  <c r="C100" i="72" s="1"/>
  <c r="C103" i="72" s="1"/>
  <c r="AP27" i="72"/>
  <c r="AO27" i="72"/>
  <c r="AN27" i="72"/>
  <c r="AM27" i="72"/>
  <c r="AM21" i="72"/>
  <c r="AP21" i="72"/>
  <c r="AN21" i="72"/>
  <c r="AP15" i="72"/>
  <c r="AO15" i="72"/>
  <c r="AN15" i="72"/>
  <c r="F14" i="72"/>
  <c r="F98" i="72" s="1"/>
  <c r="AI12" i="72"/>
  <c r="AE12" i="72"/>
  <c r="AI11" i="72"/>
  <c r="AE11" i="72"/>
  <c r="AI10" i="72"/>
  <c r="AG10" i="72"/>
  <c r="AG94" i="72" s="1"/>
  <c r="AF10" i="72"/>
  <c r="AE10" i="72" s="1"/>
  <c r="O10" i="72"/>
  <c r="O8" i="72" s="1"/>
  <c r="M10" i="72"/>
  <c r="K10" i="72"/>
  <c r="K8" i="72" s="1"/>
  <c r="I10" i="72"/>
  <c r="G10" i="72"/>
  <c r="AN8" i="72"/>
  <c r="AM8" i="72"/>
  <c r="AH8" i="72"/>
  <c r="AH93" i="72" s="1"/>
  <c r="AH100" i="72" s="1"/>
  <c r="AD8" i="72"/>
  <c r="AC8" i="72"/>
  <c r="AB8" i="72"/>
  <c r="AA8" i="72"/>
  <c r="Z8" i="72"/>
  <c r="Y8" i="72"/>
  <c r="X8" i="72"/>
  <c r="W8" i="72"/>
  <c r="V8" i="72"/>
  <c r="U8" i="72"/>
  <c r="T8" i="72"/>
  <c r="S8" i="72"/>
  <c r="R8" i="72"/>
  <c r="Q8" i="72"/>
  <c r="P8" i="72"/>
  <c r="N8" i="72"/>
  <c r="M8" i="72"/>
  <c r="L8" i="72"/>
  <c r="J8" i="72"/>
  <c r="I8" i="72"/>
  <c r="H8" i="72"/>
  <c r="G8" i="72"/>
  <c r="E8" i="72"/>
  <c r="AM16" i="71"/>
  <c r="AM63" i="71"/>
  <c r="AM64" i="71"/>
  <c r="AM65" i="71"/>
  <c r="AM22" i="71"/>
  <c r="AM21" i="71" s="1"/>
  <c r="AM51" i="71"/>
  <c r="AM50" i="71"/>
  <c r="AM49" i="71"/>
  <c r="AM35" i="71"/>
  <c r="AN58" i="71"/>
  <c r="AN57" i="71"/>
  <c r="AN56" i="71"/>
  <c r="AM58" i="71"/>
  <c r="AM57" i="71"/>
  <c r="AM56" i="71"/>
  <c r="AO45" i="71"/>
  <c r="AO40" i="71" s="1"/>
  <c r="AN44" i="71"/>
  <c r="AN43" i="71"/>
  <c r="AN42" i="71"/>
  <c r="AM43" i="71"/>
  <c r="AM45" i="71"/>
  <c r="AM44" i="71"/>
  <c r="AM42" i="71"/>
  <c r="AP98" i="71"/>
  <c r="AO98" i="71"/>
  <c r="AN98" i="71"/>
  <c r="AL98" i="71"/>
  <c r="AK98" i="71"/>
  <c r="AH98" i="71"/>
  <c r="AG98" i="71"/>
  <c r="AF98" i="71"/>
  <c r="AD98" i="71"/>
  <c r="AB98" i="71"/>
  <c r="Z98" i="71"/>
  <c r="Y98" i="71"/>
  <c r="X98" i="71"/>
  <c r="W98" i="71"/>
  <c r="V98" i="71"/>
  <c r="U98" i="71"/>
  <c r="T98" i="71"/>
  <c r="S98" i="71"/>
  <c r="R98" i="71"/>
  <c r="Q98" i="71"/>
  <c r="P98" i="71"/>
  <c r="O98" i="71"/>
  <c r="N98" i="71"/>
  <c r="M98" i="71"/>
  <c r="L98" i="71"/>
  <c r="K98" i="71"/>
  <c r="J98" i="71"/>
  <c r="H98" i="71"/>
  <c r="E98" i="71"/>
  <c r="D98" i="71"/>
  <c r="C98" i="71"/>
  <c r="AP97" i="71"/>
  <c r="AN97" i="71"/>
  <c r="AM97" i="71"/>
  <c r="AL97" i="71"/>
  <c r="AJ97" i="71"/>
  <c r="AH97" i="71"/>
  <c r="AF97" i="71"/>
  <c r="AD97" i="71"/>
  <c r="AB97" i="71"/>
  <c r="Z97" i="71"/>
  <c r="Y97" i="71"/>
  <c r="F97" i="71"/>
  <c r="E97" i="71"/>
  <c r="D97" i="71"/>
  <c r="C97" i="71"/>
  <c r="AP96" i="71"/>
  <c r="AO96" i="71"/>
  <c r="AL96" i="71"/>
  <c r="AK96" i="71"/>
  <c r="AB96" i="71"/>
  <c r="Z96" i="71"/>
  <c r="Y96" i="71"/>
  <c r="X96" i="71"/>
  <c r="V96" i="71"/>
  <c r="T96" i="71"/>
  <c r="R96" i="71"/>
  <c r="P96" i="71"/>
  <c r="N96" i="71"/>
  <c r="M96" i="71"/>
  <c r="L96" i="71"/>
  <c r="J96" i="71"/>
  <c r="H96" i="71"/>
  <c r="F96" i="71"/>
  <c r="E96" i="71"/>
  <c r="D96" i="71"/>
  <c r="C96" i="71"/>
  <c r="AP95" i="71"/>
  <c r="AO95" i="71"/>
  <c r="AL95" i="71"/>
  <c r="AK95" i="71"/>
  <c r="AH95" i="71"/>
  <c r="AG95" i="71"/>
  <c r="AD95" i="71"/>
  <c r="AB95" i="71"/>
  <c r="Z95" i="71"/>
  <c r="Y95" i="71"/>
  <c r="X95" i="71"/>
  <c r="V95" i="71"/>
  <c r="T95" i="71"/>
  <c r="R95" i="71"/>
  <c r="P95" i="71"/>
  <c r="N95" i="71"/>
  <c r="M95" i="71"/>
  <c r="L95" i="71"/>
  <c r="J95" i="71"/>
  <c r="H95" i="71"/>
  <c r="F95" i="71"/>
  <c r="E95" i="71"/>
  <c r="D95" i="71"/>
  <c r="C95" i="71"/>
  <c r="AP94" i="71"/>
  <c r="AO94" i="71"/>
  <c r="AL94" i="71"/>
  <c r="AK94" i="71"/>
  <c r="AH94" i="71"/>
  <c r="Y94" i="71"/>
  <c r="E94" i="71"/>
  <c r="D94" i="71"/>
  <c r="C94" i="71"/>
  <c r="D91" i="71"/>
  <c r="C91" i="71"/>
  <c r="Z89" i="71"/>
  <c r="Y89" i="71"/>
  <c r="X89" i="71"/>
  <c r="W89" i="71"/>
  <c r="V89" i="71"/>
  <c r="U89" i="71"/>
  <c r="T89" i="71"/>
  <c r="S89" i="71"/>
  <c r="R89" i="71"/>
  <c r="Q89" i="71"/>
  <c r="P89" i="71"/>
  <c r="O89" i="71"/>
  <c r="N89" i="71"/>
  <c r="M89" i="71"/>
  <c r="L89" i="71"/>
  <c r="K89" i="71"/>
  <c r="J89" i="71"/>
  <c r="I89" i="71"/>
  <c r="H89" i="71"/>
  <c r="G89" i="71"/>
  <c r="F89" i="71"/>
  <c r="E89" i="71"/>
  <c r="AP82" i="71"/>
  <c r="AO82" i="71"/>
  <c r="AR82" i="71" s="1"/>
  <c r="AN82" i="71"/>
  <c r="AM82" i="71"/>
  <c r="AQ82" i="71" s="1"/>
  <c r="AL82" i="71"/>
  <c r="AJ82" i="71"/>
  <c r="AI82" i="71"/>
  <c r="AH82" i="71"/>
  <c r="AG82" i="71"/>
  <c r="AF82" i="71"/>
  <c r="AE82" i="71"/>
  <c r="AD82" i="71"/>
  <c r="AC82" i="71"/>
  <c r="AB82" i="71"/>
  <c r="AA82" i="71"/>
  <c r="Z82" i="71"/>
  <c r="Y82" i="71"/>
  <c r="X82" i="71"/>
  <c r="W82" i="71"/>
  <c r="V82" i="71"/>
  <c r="U82" i="71"/>
  <c r="T82" i="71"/>
  <c r="S82" i="71"/>
  <c r="R82" i="71"/>
  <c r="Q82" i="71"/>
  <c r="P82" i="71"/>
  <c r="O82" i="71"/>
  <c r="N82" i="71"/>
  <c r="M82" i="71"/>
  <c r="L82" i="71"/>
  <c r="K82" i="71"/>
  <c r="J82" i="71"/>
  <c r="I82" i="71"/>
  <c r="H82" i="71"/>
  <c r="G82" i="71"/>
  <c r="F82" i="71"/>
  <c r="E82" i="71"/>
  <c r="D82" i="71"/>
  <c r="I81" i="71"/>
  <c r="I98" i="71" s="1"/>
  <c r="G81" i="71"/>
  <c r="AA80" i="71"/>
  <c r="AC79" i="71"/>
  <c r="AE78" i="71"/>
  <c r="AE75" i="71" s="1"/>
  <c r="AC78" i="71"/>
  <c r="AA78" i="71"/>
  <c r="AD77" i="71"/>
  <c r="AD94" i="71" s="1"/>
  <c r="AC77" i="71"/>
  <c r="AB77" i="71"/>
  <c r="AB94" i="71" s="1"/>
  <c r="AA77" i="71"/>
  <c r="AA75" i="71" s="1"/>
  <c r="X77" i="71"/>
  <c r="W77" i="71"/>
  <c r="W75" i="71" s="1"/>
  <c r="V77" i="71"/>
  <c r="U77" i="71"/>
  <c r="T77" i="71"/>
  <c r="T94" i="71" s="1"/>
  <c r="S77" i="71"/>
  <c r="P77" i="71"/>
  <c r="P75" i="71" s="1"/>
  <c r="O77" i="71"/>
  <c r="O75" i="71" s="1"/>
  <c r="L77" i="71"/>
  <c r="L94" i="71" s="1"/>
  <c r="K77" i="71"/>
  <c r="K75" i="71" s="1"/>
  <c r="J77" i="71"/>
  <c r="J94" i="71" s="1"/>
  <c r="I77" i="71"/>
  <c r="H77" i="71"/>
  <c r="G77" i="71"/>
  <c r="F77" i="71"/>
  <c r="F75" i="71" s="1"/>
  <c r="AP75" i="71"/>
  <c r="AO75" i="71"/>
  <c r="AR75" i="71" s="1"/>
  <c r="AN75" i="71"/>
  <c r="AM75" i="71"/>
  <c r="AQ75" i="71" s="1"/>
  <c r="AI75" i="71"/>
  <c r="AH75" i="71"/>
  <c r="AG75" i="71"/>
  <c r="AF75" i="71"/>
  <c r="AD75" i="71"/>
  <c r="Z75" i="71"/>
  <c r="Y75" i="71"/>
  <c r="X75" i="71"/>
  <c r="V75" i="71"/>
  <c r="U75" i="71"/>
  <c r="T75" i="71"/>
  <c r="S75" i="71"/>
  <c r="R75" i="71"/>
  <c r="Q75" i="71"/>
  <c r="N75" i="71"/>
  <c r="M75" i="71"/>
  <c r="L75" i="71"/>
  <c r="J75" i="71"/>
  <c r="I75" i="71"/>
  <c r="H75" i="71"/>
  <c r="E75" i="71"/>
  <c r="D75" i="71"/>
  <c r="Z68" i="71"/>
  <c r="Y68" i="71"/>
  <c r="AQ68" i="71" s="1"/>
  <c r="X68" i="71"/>
  <c r="W68" i="71"/>
  <c r="V68" i="71"/>
  <c r="U68" i="71"/>
  <c r="T68" i="71"/>
  <c r="S68" i="71"/>
  <c r="R68" i="71"/>
  <c r="Q68" i="71"/>
  <c r="P68" i="71"/>
  <c r="O68" i="71"/>
  <c r="N68" i="71"/>
  <c r="M68" i="71"/>
  <c r="L68" i="71"/>
  <c r="K68" i="71"/>
  <c r="J68" i="71"/>
  <c r="I68" i="71"/>
  <c r="H68" i="71"/>
  <c r="G68" i="71"/>
  <c r="F68" i="71"/>
  <c r="E68" i="71"/>
  <c r="D68" i="71"/>
  <c r="AG66" i="71"/>
  <c r="AE66" i="71"/>
  <c r="AC66" i="71"/>
  <c r="AC97" i="71" s="1"/>
  <c r="AA66" i="71"/>
  <c r="AA97" i="71" s="1"/>
  <c r="W66" i="71"/>
  <c r="Q66" i="71"/>
  <c r="Q61" i="71" s="1"/>
  <c r="P66" i="71"/>
  <c r="O66" i="71"/>
  <c r="L66" i="71"/>
  <c r="K66" i="71"/>
  <c r="J66" i="71"/>
  <c r="J61" i="71" s="1"/>
  <c r="I66" i="71"/>
  <c r="H66" i="71"/>
  <c r="G66" i="71"/>
  <c r="G61" i="71" s="1"/>
  <c r="AI65" i="71"/>
  <c r="AG65" i="71"/>
  <c r="AE65" i="71"/>
  <c r="AC65" i="71"/>
  <c r="AA65" i="71"/>
  <c r="AI64" i="71"/>
  <c r="AI61" i="71" s="1"/>
  <c r="AE64" i="71"/>
  <c r="AC64" i="71"/>
  <c r="AA64" i="71"/>
  <c r="AI63" i="71"/>
  <c r="AE63" i="71"/>
  <c r="AC63" i="71"/>
  <c r="AA63" i="71"/>
  <c r="Z63" i="71"/>
  <c r="Z94" i="71" s="1"/>
  <c r="W63" i="71"/>
  <c r="U63" i="71"/>
  <c r="U61" i="71" s="1"/>
  <c r="S63" i="71"/>
  <c r="P63" i="71"/>
  <c r="O63" i="71"/>
  <c r="N63" i="71"/>
  <c r="N94" i="71" s="1"/>
  <c r="M63" i="71"/>
  <c r="M61" i="71" s="1"/>
  <c r="K63" i="71"/>
  <c r="I63" i="71"/>
  <c r="H63" i="71"/>
  <c r="H94" i="71" s="1"/>
  <c r="G63" i="71"/>
  <c r="AP61" i="71"/>
  <c r="AO61" i="71"/>
  <c r="AN61" i="71"/>
  <c r="AK61" i="71"/>
  <c r="AH61" i="71"/>
  <c r="AF61" i="71"/>
  <c r="AE61" i="71"/>
  <c r="AD61" i="71"/>
  <c r="AB61" i="71"/>
  <c r="Y61" i="71"/>
  <c r="X61" i="71"/>
  <c r="V61" i="71"/>
  <c r="T61" i="71"/>
  <c r="S61" i="71"/>
  <c r="R61" i="71"/>
  <c r="P61" i="71"/>
  <c r="O61" i="71"/>
  <c r="L61" i="71"/>
  <c r="K61" i="71"/>
  <c r="I61" i="71"/>
  <c r="F61" i="71"/>
  <c r="E61" i="71"/>
  <c r="AI60" i="71"/>
  <c r="AE60" i="71"/>
  <c r="AC60" i="71"/>
  <c r="AI59" i="71"/>
  <c r="AE59" i="71"/>
  <c r="W59" i="71"/>
  <c r="O59" i="71"/>
  <c r="AN96" i="71"/>
  <c r="AJ58" i="71"/>
  <c r="AI58" i="71"/>
  <c r="AH58" i="71"/>
  <c r="AH96" i="71" s="1"/>
  <c r="AF58" i="71"/>
  <c r="AF96" i="71" s="1"/>
  <c r="AD58" i="71"/>
  <c r="AD96" i="71" s="1"/>
  <c r="AC58" i="71"/>
  <c r="AA58" i="71"/>
  <c r="W58" i="71"/>
  <c r="W96" i="71" s="1"/>
  <c r="U58" i="71"/>
  <c r="U96" i="71" s="1"/>
  <c r="S58" i="71"/>
  <c r="S96" i="71" s="1"/>
  <c r="Q58" i="71"/>
  <c r="Q96" i="71" s="1"/>
  <c r="O58" i="71"/>
  <c r="O96" i="71" s="1"/>
  <c r="K58" i="71"/>
  <c r="K96" i="71" s="1"/>
  <c r="I58" i="71"/>
  <c r="I96" i="71" s="1"/>
  <c r="G58" i="71"/>
  <c r="G96" i="71" s="1"/>
  <c r="AJ57" i="71"/>
  <c r="AI57" i="71"/>
  <c r="AF57" i="71"/>
  <c r="AF95" i="71" s="1"/>
  <c r="AC57" i="71"/>
  <c r="AC54" i="71" s="1"/>
  <c r="AA57" i="71"/>
  <c r="W57" i="71"/>
  <c r="W95" i="71" s="1"/>
  <c r="U57" i="71"/>
  <c r="U95" i="71" s="1"/>
  <c r="S57" i="71"/>
  <c r="S95" i="71" s="1"/>
  <c r="Q57" i="71"/>
  <c r="Q95" i="71" s="1"/>
  <c r="O57" i="71"/>
  <c r="O95" i="71" s="1"/>
  <c r="K57" i="71"/>
  <c r="K95" i="71" s="1"/>
  <c r="I57" i="71"/>
  <c r="I95" i="71" s="1"/>
  <c r="G57" i="71"/>
  <c r="G95" i="71" s="1"/>
  <c r="AJ56" i="71"/>
  <c r="AJ54" i="71" s="1"/>
  <c r="AI56" i="71"/>
  <c r="AF56" i="71"/>
  <c r="AE56" i="71" s="1"/>
  <c r="AC56" i="71"/>
  <c r="AA56" i="71"/>
  <c r="W56" i="71"/>
  <c r="V56" i="71"/>
  <c r="V54" i="71" s="1"/>
  <c r="U56" i="71"/>
  <c r="S56" i="71"/>
  <c r="Q56" i="71"/>
  <c r="O56" i="71"/>
  <c r="M56" i="71"/>
  <c r="K56" i="71"/>
  <c r="I56" i="71"/>
  <c r="G56" i="71"/>
  <c r="AP54" i="71"/>
  <c r="AO54" i="71"/>
  <c r="AR54" i="71" s="1"/>
  <c r="AG54" i="71"/>
  <c r="AB54" i="71"/>
  <c r="Z54" i="71"/>
  <c r="Y54" i="71"/>
  <c r="X54" i="71"/>
  <c r="U54" i="71"/>
  <c r="T54" i="71"/>
  <c r="R54" i="71"/>
  <c r="P54" i="71"/>
  <c r="N54" i="71"/>
  <c r="M54" i="71"/>
  <c r="L54" i="71"/>
  <c r="J54" i="71"/>
  <c r="H54" i="71"/>
  <c r="F54" i="71"/>
  <c r="E54" i="71"/>
  <c r="D54" i="71"/>
  <c r="AI51" i="71"/>
  <c r="AI50" i="71"/>
  <c r="AI49" i="71"/>
  <c r="AP47" i="71"/>
  <c r="AO47" i="71"/>
  <c r="AR47" i="71" s="1"/>
  <c r="AN47" i="71"/>
  <c r="AL47" i="71"/>
  <c r="AJ47" i="71"/>
  <c r="AH47" i="71"/>
  <c r="AG47" i="71"/>
  <c r="AF47" i="71"/>
  <c r="AE47" i="71"/>
  <c r="AD47" i="71"/>
  <c r="AC47" i="71"/>
  <c r="AB47" i="71"/>
  <c r="AA47" i="71"/>
  <c r="Z47" i="71"/>
  <c r="Y47" i="71"/>
  <c r="X47" i="71"/>
  <c r="W47" i="71"/>
  <c r="V47" i="71"/>
  <c r="U47" i="71"/>
  <c r="T47" i="71"/>
  <c r="S47" i="71"/>
  <c r="R47" i="71"/>
  <c r="Q47" i="71"/>
  <c r="P47" i="71"/>
  <c r="O47" i="71"/>
  <c r="N47" i="71"/>
  <c r="M47" i="71"/>
  <c r="L47" i="71"/>
  <c r="K47" i="71"/>
  <c r="J47" i="71"/>
  <c r="I47" i="71"/>
  <c r="H47" i="71"/>
  <c r="G47" i="71"/>
  <c r="F47" i="71"/>
  <c r="E47" i="71"/>
  <c r="D47" i="71"/>
  <c r="AJ46" i="71"/>
  <c r="AJ98" i="71" s="1"/>
  <c r="AI46" i="71"/>
  <c r="AE46" i="71"/>
  <c r="AE98" i="71" s="1"/>
  <c r="AC46" i="71"/>
  <c r="AA46" i="71"/>
  <c r="AA98" i="71" s="1"/>
  <c r="AK45" i="71"/>
  <c r="AK40" i="71" s="1"/>
  <c r="AI45" i="71"/>
  <c r="AI97" i="71" s="1"/>
  <c r="AG45" i="71"/>
  <c r="AG97" i="71" s="1"/>
  <c r="AE45" i="71"/>
  <c r="X45" i="71"/>
  <c r="X97" i="71" s="1"/>
  <c r="W45" i="71"/>
  <c r="W40" i="71" s="1"/>
  <c r="V45" i="71"/>
  <c r="V97" i="71" s="1"/>
  <c r="U45" i="71"/>
  <c r="U97" i="71" s="1"/>
  <c r="T45" i="71"/>
  <c r="T97" i="71" s="1"/>
  <c r="S45" i="71"/>
  <c r="S97" i="71" s="1"/>
  <c r="R45" i="71"/>
  <c r="R97" i="71" s="1"/>
  <c r="Q45" i="71"/>
  <c r="P45" i="71"/>
  <c r="P97" i="71" s="1"/>
  <c r="O45" i="71"/>
  <c r="O97" i="71" s="1"/>
  <c r="N45" i="71"/>
  <c r="N97" i="71" s="1"/>
  <c r="M45" i="71"/>
  <c r="M97" i="71" s="1"/>
  <c r="L45" i="71"/>
  <c r="L97" i="71" s="1"/>
  <c r="K45" i="71"/>
  <c r="K97" i="71" s="1"/>
  <c r="J45" i="71"/>
  <c r="J97" i="71" s="1"/>
  <c r="I45" i="71"/>
  <c r="I97" i="71" s="1"/>
  <c r="H45" i="71"/>
  <c r="H97" i="71" s="1"/>
  <c r="G45" i="71"/>
  <c r="G97" i="71" s="1"/>
  <c r="AJ44" i="71"/>
  <c r="AJ96" i="71" s="1"/>
  <c r="AI44" i="71"/>
  <c r="AG44" i="71"/>
  <c r="AG96" i="71" s="1"/>
  <c r="AE44" i="71"/>
  <c r="AC44" i="71"/>
  <c r="AC96" i="71" s="1"/>
  <c r="AA44" i="71"/>
  <c r="AJ43" i="71"/>
  <c r="AJ95" i="71" s="1"/>
  <c r="AI43" i="71"/>
  <c r="AE43" i="71"/>
  <c r="AC43" i="71"/>
  <c r="AA43" i="71"/>
  <c r="AJ42" i="71"/>
  <c r="AI42" i="71"/>
  <c r="AG42" i="71"/>
  <c r="AE42" i="71"/>
  <c r="AC42" i="71"/>
  <c r="AA42" i="71"/>
  <c r="X42" i="71"/>
  <c r="X94" i="71" s="1"/>
  <c r="W42" i="71"/>
  <c r="V42" i="71"/>
  <c r="U42" i="71"/>
  <c r="S42" i="71"/>
  <c r="S40" i="71" s="1"/>
  <c r="R42" i="71"/>
  <c r="R94" i="71" s="1"/>
  <c r="Q42" i="71"/>
  <c r="Q94" i="71" s="1"/>
  <c r="F42" i="71"/>
  <c r="F40" i="71" s="1"/>
  <c r="AP40" i="71"/>
  <c r="AL40" i="71"/>
  <c r="AH40" i="71"/>
  <c r="AF40" i="71"/>
  <c r="AD40" i="71"/>
  <c r="AB40" i="71"/>
  <c r="Z40" i="71"/>
  <c r="Y40" i="71"/>
  <c r="X40" i="71"/>
  <c r="V40" i="71"/>
  <c r="U40" i="71"/>
  <c r="T40" i="71"/>
  <c r="Q40" i="71"/>
  <c r="P40" i="71"/>
  <c r="N40" i="71"/>
  <c r="M40" i="71"/>
  <c r="L40" i="71"/>
  <c r="K40" i="71"/>
  <c r="I40" i="71"/>
  <c r="H40" i="71"/>
  <c r="E40" i="71"/>
  <c r="AM33" i="71"/>
  <c r="AI35" i="71"/>
  <c r="AI33" i="71" s="1"/>
  <c r="AG35" i="71"/>
  <c r="AE35" i="71"/>
  <c r="AE33" i="71" s="1"/>
  <c r="AC35" i="71"/>
  <c r="AC94" i="71" s="1"/>
  <c r="S35" i="71"/>
  <c r="S33" i="71" s="1"/>
  <c r="AP33" i="71"/>
  <c r="AO33" i="71"/>
  <c r="AR33" i="71" s="1"/>
  <c r="AN33" i="71"/>
  <c r="AL33" i="71"/>
  <c r="AL93" i="71" s="1"/>
  <c r="AL100" i="71" s="1"/>
  <c r="AJ33" i="71"/>
  <c r="AH33" i="71"/>
  <c r="AG33" i="71"/>
  <c r="AF33" i="71"/>
  <c r="AD33" i="71"/>
  <c r="AB33" i="71"/>
  <c r="AA33" i="71"/>
  <c r="Z33" i="71"/>
  <c r="Y33" i="71"/>
  <c r="X33" i="71"/>
  <c r="W33" i="71"/>
  <c r="V33" i="71"/>
  <c r="U33" i="71"/>
  <c r="T33" i="71"/>
  <c r="R33" i="71"/>
  <c r="Q33" i="71"/>
  <c r="P33" i="71"/>
  <c r="O33" i="71"/>
  <c r="N33" i="71"/>
  <c r="M33" i="71"/>
  <c r="L33" i="71"/>
  <c r="K33" i="71"/>
  <c r="J33" i="71"/>
  <c r="I33" i="71"/>
  <c r="H33" i="71"/>
  <c r="G33" i="71"/>
  <c r="F33" i="71"/>
  <c r="E33" i="71"/>
  <c r="D33" i="71"/>
  <c r="C33" i="71"/>
  <c r="C93" i="71" s="1"/>
  <c r="C100" i="71" s="1"/>
  <c r="C103" i="71" s="1"/>
  <c r="AP27" i="71"/>
  <c r="AO27" i="71"/>
  <c r="AN27" i="71"/>
  <c r="AM27" i="71"/>
  <c r="AP21" i="71"/>
  <c r="AN21" i="71"/>
  <c r="AP15" i="71"/>
  <c r="AO15" i="71"/>
  <c r="AN15" i="71"/>
  <c r="AM15" i="71"/>
  <c r="F14" i="71"/>
  <c r="F8" i="71" s="1"/>
  <c r="AI12" i="71"/>
  <c r="AE12" i="71"/>
  <c r="AI11" i="71"/>
  <c r="AE11" i="71"/>
  <c r="AI10" i="71"/>
  <c r="AG10" i="71"/>
  <c r="AF10" i="71"/>
  <c r="AF94" i="71" s="1"/>
  <c r="O10" i="71"/>
  <c r="O8" i="71" s="1"/>
  <c r="M10" i="71"/>
  <c r="M94" i="71" s="1"/>
  <c r="K10" i="71"/>
  <c r="I10" i="71"/>
  <c r="I94" i="71" s="1"/>
  <c r="G10" i="71"/>
  <c r="G8" i="71" s="1"/>
  <c r="AR8" i="71"/>
  <c r="AN8" i="71"/>
  <c r="AM8" i="71"/>
  <c r="AH8" i="71"/>
  <c r="AG8" i="71"/>
  <c r="AD8" i="71"/>
  <c r="AC8" i="71"/>
  <c r="AB8" i="71"/>
  <c r="AA8" i="71"/>
  <c r="Z8" i="71"/>
  <c r="Y8" i="71"/>
  <c r="X8" i="71"/>
  <c r="X93" i="71" s="1"/>
  <c r="X100" i="71" s="1"/>
  <c r="W8" i="71"/>
  <c r="V8" i="71"/>
  <c r="U8" i="71"/>
  <c r="T8" i="71"/>
  <c r="S8" i="71"/>
  <c r="R8" i="71"/>
  <c r="Q8" i="71"/>
  <c r="P8" i="71"/>
  <c r="P93" i="71" s="1"/>
  <c r="P100" i="71" s="1"/>
  <c r="N8" i="71"/>
  <c r="L8" i="71"/>
  <c r="K8" i="71"/>
  <c r="J8" i="71"/>
  <c r="I8" i="71"/>
  <c r="H8" i="71"/>
  <c r="E8" i="71"/>
  <c r="E93" i="71" s="1"/>
  <c r="E100" i="71" s="1"/>
  <c r="AM51" i="70"/>
  <c r="AI51" i="70"/>
  <c r="Y93" i="71" l="1"/>
  <c r="Y100" i="71" s="1"/>
  <c r="J40" i="71"/>
  <c r="Y93" i="72"/>
  <c r="Y100" i="72" s="1"/>
  <c r="M40" i="72"/>
  <c r="Q54" i="72"/>
  <c r="Q93" i="72" s="1"/>
  <c r="Q100" i="72" s="1"/>
  <c r="AE57" i="72"/>
  <c r="AE95" i="72" s="1"/>
  <c r="AQ75" i="72"/>
  <c r="U94" i="71"/>
  <c r="I54" i="71"/>
  <c r="W54" i="71"/>
  <c r="J93" i="72"/>
  <c r="J100" i="72" s="1"/>
  <c r="AC95" i="72"/>
  <c r="AE40" i="71"/>
  <c r="AC54" i="72"/>
  <c r="J93" i="71"/>
  <c r="J100" i="71" s="1"/>
  <c r="AG94" i="71"/>
  <c r="AI8" i="71"/>
  <c r="AJ94" i="71"/>
  <c r="AD54" i="71"/>
  <c r="AD93" i="71" s="1"/>
  <c r="AD100" i="71" s="1"/>
  <c r="Z61" i="71"/>
  <c r="AC61" i="71"/>
  <c r="AB93" i="72"/>
  <c r="AB100" i="72" s="1"/>
  <c r="AL93" i="72"/>
  <c r="AL100" i="72" s="1"/>
  <c r="R40" i="72"/>
  <c r="AR68" i="72"/>
  <c r="L75" i="72"/>
  <c r="L93" i="72" s="1"/>
  <c r="L100" i="72" s="1"/>
  <c r="T93" i="71"/>
  <c r="T100" i="71" s="1"/>
  <c r="U93" i="71"/>
  <c r="U100" i="71" s="1"/>
  <c r="AC33" i="71"/>
  <c r="W94" i="71"/>
  <c r="I94" i="72"/>
  <c r="AC33" i="72"/>
  <c r="AQ33" i="72"/>
  <c r="U40" i="72"/>
  <c r="U93" i="72" s="1"/>
  <c r="U100" i="72" s="1"/>
  <c r="G97" i="72"/>
  <c r="AC98" i="72"/>
  <c r="S54" i="72"/>
  <c r="AI54" i="72"/>
  <c r="Z61" i="72"/>
  <c r="Z93" i="72" s="1"/>
  <c r="Z100" i="72" s="1"/>
  <c r="AA95" i="72"/>
  <c r="G40" i="71"/>
  <c r="O40" i="71"/>
  <c r="AC95" i="71"/>
  <c r="AH54" i="71"/>
  <c r="AH93" i="71" s="1"/>
  <c r="AH100" i="71" s="1"/>
  <c r="P94" i="71"/>
  <c r="AG61" i="71"/>
  <c r="E93" i="72"/>
  <c r="E100" i="72" s="1"/>
  <c r="N93" i="72"/>
  <c r="N100" i="72" s="1"/>
  <c r="AD93" i="72"/>
  <c r="AD100" i="72" s="1"/>
  <c r="AG40" i="72"/>
  <c r="H61" i="72"/>
  <c r="AC75" i="72"/>
  <c r="Q97" i="71"/>
  <c r="R93" i="72"/>
  <c r="R100" i="72" s="1"/>
  <c r="AC40" i="72"/>
  <c r="M8" i="71"/>
  <c r="M93" i="71" s="1"/>
  <c r="M100" i="71" s="1"/>
  <c r="AF8" i="71"/>
  <c r="AI47" i="71"/>
  <c r="Q54" i="71"/>
  <c r="Q93" i="71" s="1"/>
  <c r="Q100" i="71" s="1"/>
  <c r="AC75" i="71"/>
  <c r="F8" i="72"/>
  <c r="AG8" i="72"/>
  <c r="AG93" i="72" s="1"/>
  <c r="AG100" i="72" s="1"/>
  <c r="M94" i="72"/>
  <c r="I97" i="72"/>
  <c r="Q97" i="72"/>
  <c r="AI61" i="72"/>
  <c r="AC40" i="71"/>
  <c r="AC93" i="71" s="1"/>
  <c r="AC100" i="71" s="1"/>
  <c r="AI94" i="71"/>
  <c r="AA95" i="71"/>
  <c r="F94" i="71"/>
  <c r="V94" i="71"/>
  <c r="G75" i="71"/>
  <c r="O94" i="71"/>
  <c r="V93" i="72"/>
  <c r="V100" i="72" s="1"/>
  <c r="AI94" i="72"/>
  <c r="AJ40" i="72"/>
  <c r="X40" i="72"/>
  <c r="U54" i="72"/>
  <c r="AJ94" i="72"/>
  <c r="AE97" i="72"/>
  <c r="AI98" i="72"/>
  <c r="G94" i="72"/>
  <c r="AB94" i="72"/>
  <c r="AF96" i="72"/>
  <c r="AM97" i="72"/>
  <c r="AO93" i="72"/>
  <c r="AR93" i="72" s="1"/>
  <c r="I93" i="71"/>
  <c r="I100" i="71" s="1"/>
  <c r="AE10" i="71"/>
  <c r="AE8" i="71" s="1"/>
  <c r="AP93" i="71"/>
  <c r="AP100" i="71" s="1"/>
  <c r="AJ40" i="71"/>
  <c r="AJ93" i="71" s="1"/>
  <c r="AJ100" i="71" s="1"/>
  <c r="AG40" i="71"/>
  <c r="AG93" i="71" s="1"/>
  <c r="AG100" i="71" s="1"/>
  <c r="AI40" i="71"/>
  <c r="AA40" i="71"/>
  <c r="AI96" i="71"/>
  <c r="K94" i="71"/>
  <c r="S54" i="71"/>
  <c r="S93" i="71" s="1"/>
  <c r="S100" i="71" s="1"/>
  <c r="AA94" i="71"/>
  <c r="O54" i="71"/>
  <c r="AE97" i="71"/>
  <c r="AI98" i="71"/>
  <c r="H61" i="71"/>
  <c r="AR61" i="71"/>
  <c r="AA61" i="71"/>
  <c r="W61" i="71"/>
  <c r="G94" i="71"/>
  <c r="AI8" i="72"/>
  <c r="S94" i="72"/>
  <c r="AI96" i="72"/>
  <c r="G54" i="72"/>
  <c r="O94" i="72"/>
  <c r="AA61" i="72"/>
  <c r="AQ82" i="72"/>
  <c r="AP93" i="72"/>
  <c r="AP100" i="72" s="1"/>
  <c r="AN40" i="72"/>
  <c r="AN93" i="72" s="1"/>
  <c r="AN100" i="72" s="1"/>
  <c r="AM54" i="72"/>
  <c r="AQ54" i="72" s="1"/>
  <c r="AM96" i="72"/>
  <c r="AM61" i="72"/>
  <c r="AQ61" i="72" s="1"/>
  <c r="AM94" i="72"/>
  <c r="AM47" i="72"/>
  <c r="AQ47" i="72" s="1"/>
  <c r="D93" i="72"/>
  <c r="D100" i="72" s="1"/>
  <c r="D103" i="72" s="1"/>
  <c r="T93" i="72"/>
  <c r="T100" i="72" s="1"/>
  <c r="X93" i="72"/>
  <c r="X100" i="72" s="1"/>
  <c r="AE96" i="72"/>
  <c r="F93" i="72"/>
  <c r="F100" i="72" s="1"/>
  <c r="AE8" i="72"/>
  <c r="AE94" i="72"/>
  <c r="AQ8" i="72"/>
  <c r="M93" i="72"/>
  <c r="M100" i="72" s="1"/>
  <c r="AC93" i="72"/>
  <c r="AC100" i="72" s="1"/>
  <c r="AJ95" i="72"/>
  <c r="L97" i="72"/>
  <c r="T97" i="72"/>
  <c r="X97" i="72"/>
  <c r="H40" i="72"/>
  <c r="P40" i="72"/>
  <c r="P93" i="72" s="1"/>
  <c r="P100" i="72" s="1"/>
  <c r="AR40" i="72"/>
  <c r="I54" i="72"/>
  <c r="K94" i="72"/>
  <c r="W94" i="72"/>
  <c r="AI95" i="72"/>
  <c r="AM95" i="72"/>
  <c r="O97" i="72"/>
  <c r="AF8" i="72"/>
  <c r="G40" i="72"/>
  <c r="K40" i="72"/>
  <c r="K93" i="72" s="1"/>
  <c r="K100" i="72" s="1"/>
  <c r="S40" i="72"/>
  <c r="S93" i="72" s="1"/>
  <c r="S100" i="72" s="1"/>
  <c r="W40" i="72"/>
  <c r="W93" i="72" s="1"/>
  <c r="W100" i="72" s="1"/>
  <c r="AA40" i="72"/>
  <c r="AA93" i="72" s="1"/>
  <c r="AA100" i="72" s="1"/>
  <c r="AI40" i="72"/>
  <c r="AQ40" i="72" s="1"/>
  <c r="AF54" i="72"/>
  <c r="AJ54" i="72"/>
  <c r="AJ93" i="72" s="1"/>
  <c r="AJ100" i="72" s="1"/>
  <c r="O61" i="72"/>
  <c r="O93" i="72" s="1"/>
  <c r="O100" i="72" s="1"/>
  <c r="I75" i="72"/>
  <c r="F94" i="72"/>
  <c r="N94" i="72"/>
  <c r="AF94" i="72"/>
  <c r="G95" i="72"/>
  <c r="AM61" i="71"/>
  <c r="AQ61" i="71" s="1"/>
  <c r="AM96" i="71"/>
  <c r="AM47" i="71"/>
  <c r="AQ47" i="71" s="1"/>
  <c r="AN54" i="71"/>
  <c r="AN94" i="71"/>
  <c r="AM54" i="71"/>
  <c r="AO97" i="71"/>
  <c r="AN40" i="71"/>
  <c r="AN95" i="71"/>
  <c r="AM40" i="71"/>
  <c r="V93" i="71"/>
  <c r="V100" i="71" s="1"/>
  <c r="Z93" i="71"/>
  <c r="Z100" i="71" s="1"/>
  <c r="F93" i="71"/>
  <c r="F100" i="71" s="1"/>
  <c r="AR68" i="71"/>
  <c r="H93" i="71"/>
  <c r="H100" i="71" s="1"/>
  <c r="L93" i="71"/>
  <c r="L100" i="71" s="1"/>
  <c r="O93" i="71"/>
  <c r="O100" i="71" s="1"/>
  <c r="D93" i="71"/>
  <c r="D100" i="71" s="1"/>
  <c r="D103" i="71" s="1"/>
  <c r="AK93" i="71"/>
  <c r="AK100" i="71" s="1"/>
  <c r="AR40" i="71"/>
  <c r="AQ54" i="71"/>
  <c r="W93" i="71"/>
  <c r="W100" i="71" s="1"/>
  <c r="AQ8" i="71"/>
  <c r="AQ33" i="71"/>
  <c r="R40" i="71"/>
  <c r="R93" i="71" s="1"/>
  <c r="R100" i="71" s="1"/>
  <c r="G54" i="71"/>
  <c r="G93" i="71" s="1"/>
  <c r="G100" i="71" s="1"/>
  <c r="K54" i="71"/>
  <c r="K93" i="71" s="1"/>
  <c r="K100" i="71" s="1"/>
  <c r="AA54" i="71"/>
  <c r="AA93" i="71" s="1"/>
  <c r="AA100" i="71" s="1"/>
  <c r="AI54" i="71"/>
  <c r="AI93" i="71" s="1"/>
  <c r="AI100" i="71" s="1"/>
  <c r="AE57" i="71"/>
  <c r="N61" i="71"/>
  <c r="N93" i="71" s="1"/>
  <c r="N100" i="71" s="1"/>
  <c r="AB75" i="71"/>
  <c r="AB93" i="71" s="1"/>
  <c r="AB100" i="71" s="1"/>
  <c r="AK97" i="71"/>
  <c r="AC98" i="71"/>
  <c r="AO93" i="71"/>
  <c r="S94" i="71"/>
  <c r="AM94" i="71"/>
  <c r="AI95" i="71"/>
  <c r="AM95" i="71"/>
  <c r="AA96" i="71"/>
  <c r="W97" i="71"/>
  <c r="G98" i="71"/>
  <c r="AM98" i="71"/>
  <c r="AF54" i="71"/>
  <c r="AF93" i="71" s="1"/>
  <c r="AF100" i="71" s="1"/>
  <c r="AE58" i="71"/>
  <c r="AE96" i="71" s="1"/>
  <c r="F98" i="71"/>
  <c r="AM22" i="70"/>
  <c r="AM21" i="70" s="1"/>
  <c r="AM16" i="70"/>
  <c r="AM15" i="70" s="1"/>
  <c r="AM63" i="70"/>
  <c r="AM65" i="70"/>
  <c r="AM64" i="70"/>
  <c r="AN58" i="70"/>
  <c r="AN57" i="70"/>
  <c r="AN56" i="70"/>
  <c r="AM58" i="70"/>
  <c r="AM57" i="70"/>
  <c r="AM56" i="70"/>
  <c r="AO45" i="70"/>
  <c r="AO97" i="70" s="1"/>
  <c r="AN43" i="70"/>
  <c r="AN42" i="70"/>
  <c r="AM46" i="70"/>
  <c r="AM98" i="70" s="1"/>
  <c r="AM45" i="70"/>
  <c r="AM44" i="70"/>
  <c r="AM96" i="70" s="1"/>
  <c r="AM43" i="70"/>
  <c r="AM42" i="70"/>
  <c r="AM50" i="70"/>
  <c r="AM49" i="70"/>
  <c r="AM35" i="70"/>
  <c r="AP98" i="70"/>
  <c r="AO98" i="70"/>
  <c r="AN98" i="70"/>
  <c r="AL98" i="70"/>
  <c r="AK98" i="70"/>
  <c r="AH98" i="70"/>
  <c r="AG98" i="70"/>
  <c r="AF98" i="70"/>
  <c r="AD98" i="70"/>
  <c r="AB98" i="70"/>
  <c r="Z98" i="70"/>
  <c r="Y98" i="70"/>
  <c r="X98" i="70"/>
  <c r="W98" i="70"/>
  <c r="V98" i="70"/>
  <c r="U98" i="70"/>
  <c r="T98" i="70"/>
  <c r="S98" i="70"/>
  <c r="R98" i="70"/>
  <c r="Q98" i="70"/>
  <c r="P98" i="70"/>
  <c r="O98" i="70"/>
  <c r="N98" i="70"/>
  <c r="M98" i="70"/>
  <c r="L98" i="70"/>
  <c r="K98" i="70"/>
  <c r="J98" i="70"/>
  <c r="H98" i="70"/>
  <c r="E98" i="70"/>
  <c r="D98" i="70"/>
  <c r="C98" i="70"/>
  <c r="AP97" i="70"/>
  <c r="AN97" i="70"/>
  <c r="AL97" i="70"/>
  <c r="AJ97" i="70"/>
  <c r="AH97" i="70"/>
  <c r="AF97" i="70"/>
  <c r="AD97" i="70"/>
  <c r="AB97" i="70"/>
  <c r="Z97" i="70"/>
  <c r="Y97" i="70"/>
  <c r="F97" i="70"/>
  <c r="E97" i="70"/>
  <c r="D97" i="70"/>
  <c r="C97" i="70"/>
  <c r="AP96" i="70"/>
  <c r="AO96" i="70"/>
  <c r="AL96" i="70"/>
  <c r="AK96" i="70"/>
  <c r="AB96" i="70"/>
  <c r="Z96" i="70"/>
  <c r="Y96" i="70"/>
  <c r="X96" i="70"/>
  <c r="V96" i="70"/>
  <c r="T96" i="70"/>
  <c r="R96" i="70"/>
  <c r="P96" i="70"/>
  <c r="N96" i="70"/>
  <c r="M96" i="70"/>
  <c r="L96" i="70"/>
  <c r="J96" i="70"/>
  <c r="H96" i="70"/>
  <c r="F96" i="70"/>
  <c r="E96" i="70"/>
  <c r="D96" i="70"/>
  <c r="C96" i="70"/>
  <c r="AP95" i="70"/>
  <c r="AO95" i="70"/>
  <c r="AL95" i="70"/>
  <c r="AK95" i="70"/>
  <c r="AH95" i="70"/>
  <c r="AG95" i="70"/>
  <c r="AD95" i="70"/>
  <c r="AB95" i="70"/>
  <c r="Z95" i="70"/>
  <c r="Y95" i="70"/>
  <c r="X95" i="70"/>
  <c r="V95" i="70"/>
  <c r="T95" i="70"/>
  <c r="R95" i="70"/>
  <c r="P95" i="70"/>
  <c r="N95" i="70"/>
  <c r="M95" i="70"/>
  <c r="L95" i="70"/>
  <c r="J95" i="70"/>
  <c r="H95" i="70"/>
  <c r="F95" i="70"/>
  <c r="E95" i="70"/>
  <c r="D95" i="70"/>
  <c r="C95" i="70"/>
  <c r="AP94" i="70"/>
  <c r="AO94" i="70"/>
  <c r="AL94" i="70"/>
  <c r="AK94" i="70"/>
  <c r="AH94" i="70"/>
  <c r="Y94" i="70"/>
  <c r="E94" i="70"/>
  <c r="D94" i="70"/>
  <c r="C94" i="70"/>
  <c r="D91" i="70"/>
  <c r="C91" i="70"/>
  <c r="Z89" i="70"/>
  <c r="Y89" i="70"/>
  <c r="X89" i="70"/>
  <c r="W89" i="70"/>
  <c r="V89" i="70"/>
  <c r="U89" i="70"/>
  <c r="T89" i="70"/>
  <c r="S89" i="70"/>
  <c r="R89" i="70"/>
  <c r="Q89" i="70"/>
  <c r="P89" i="70"/>
  <c r="O89" i="70"/>
  <c r="N89" i="70"/>
  <c r="M89" i="70"/>
  <c r="L89" i="70"/>
  <c r="K89" i="70"/>
  <c r="J89" i="70"/>
  <c r="I89" i="70"/>
  <c r="H89" i="70"/>
  <c r="G89" i="70"/>
  <c r="F89" i="70"/>
  <c r="E89" i="70"/>
  <c r="AP82" i="70"/>
  <c r="AO82" i="70"/>
  <c r="AR82" i="70" s="1"/>
  <c r="AN82" i="70"/>
  <c r="AM82" i="70"/>
  <c r="AL82" i="70"/>
  <c r="AJ82" i="70"/>
  <c r="AI82" i="70"/>
  <c r="AH82" i="70"/>
  <c r="AG82" i="70"/>
  <c r="AF82" i="70"/>
  <c r="AE82" i="70"/>
  <c r="AD82" i="70"/>
  <c r="AC82" i="70"/>
  <c r="AB82" i="70"/>
  <c r="AA82" i="70"/>
  <c r="Z82" i="70"/>
  <c r="Y82" i="70"/>
  <c r="X82" i="70"/>
  <c r="W82" i="70"/>
  <c r="V82" i="70"/>
  <c r="U82" i="70"/>
  <c r="T82" i="70"/>
  <c r="S82" i="70"/>
  <c r="R82" i="70"/>
  <c r="Q82" i="70"/>
  <c r="P82" i="70"/>
  <c r="O82" i="70"/>
  <c r="N82" i="70"/>
  <c r="M82" i="70"/>
  <c r="L82" i="70"/>
  <c r="K82" i="70"/>
  <c r="J82" i="70"/>
  <c r="I82" i="70"/>
  <c r="H82" i="70"/>
  <c r="G82" i="70"/>
  <c r="F82" i="70"/>
  <c r="E82" i="70"/>
  <c r="D82" i="70"/>
  <c r="I81" i="70"/>
  <c r="G81" i="70"/>
  <c r="G98" i="70" s="1"/>
  <c r="AA80" i="70"/>
  <c r="AC79" i="70"/>
  <c r="AE78" i="70"/>
  <c r="AC78" i="70"/>
  <c r="AA78" i="70"/>
  <c r="AD77" i="70"/>
  <c r="AD75" i="70" s="1"/>
  <c r="AC77" i="70"/>
  <c r="AB77" i="70"/>
  <c r="AB94" i="70" s="1"/>
  <c r="AA77" i="70"/>
  <c r="X77" i="70"/>
  <c r="W77" i="70"/>
  <c r="W75" i="70" s="1"/>
  <c r="V77" i="70"/>
  <c r="V75" i="70" s="1"/>
  <c r="U77" i="70"/>
  <c r="T77" i="70"/>
  <c r="T94" i="70" s="1"/>
  <c r="S77" i="70"/>
  <c r="P77" i="70"/>
  <c r="O77" i="70"/>
  <c r="L77" i="70"/>
  <c r="L94" i="70" s="1"/>
  <c r="K77" i="70"/>
  <c r="J77" i="70"/>
  <c r="J94" i="70" s="1"/>
  <c r="I77" i="70"/>
  <c r="H77" i="70"/>
  <c r="H75" i="70" s="1"/>
  <c r="G77" i="70"/>
  <c r="F77" i="70"/>
  <c r="F75" i="70" s="1"/>
  <c r="AP75" i="70"/>
  <c r="AO75" i="70"/>
  <c r="AR75" i="70" s="1"/>
  <c r="AN75" i="70"/>
  <c r="AM75" i="70"/>
  <c r="AQ75" i="70" s="1"/>
  <c r="AI75" i="70"/>
  <c r="AH75" i="70"/>
  <c r="AG75" i="70"/>
  <c r="AF75" i="70"/>
  <c r="AE75" i="70"/>
  <c r="AA75" i="70"/>
  <c r="Z75" i="70"/>
  <c r="Y75" i="70"/>
  <c r="X75" i="70"/>
  <c r="U75" i="70"/>
  <c r="S75" i="70"/>
  <c r="R75" i="70"/>
  <c r="Q75" i="70"/>
  <c r="P75" i="70"/>
  <c r="O75" i="70"/>
  <c r="N75" i="70"/>
  <c r="M75" i="70"/>
  <c r="L75" i="70"/>
  <c r="K75" i="70"/>
  <c r="J75" i="70"/>
  <c r="G75" i="70"/>
  <c r="E75" i="70"/>
  <c r="D75" i="70"/>
  <c r="Z68" i="70"/>
  <c r="Y68" i="70"/>
  <c r="X68" i="70"/>
  <c r="W68" i="70"/>
  <c r="V68" i="70"/>
  <c r="U68" i="70"/>
  <c r="T68" i="70"/>
  <c r="S68" i="70"/>
  <c r="R68" i="70"/>
  <c r="Q68" i="70"/>
  <c r="P68" i="70"/>
  <c r="O68" i="70"/>
  <c r="N68" i="70"/>
  <c r="M68" i="70"/>
  <c r="L68" i="70"/>
  <c r="K68" i="70"/>
  <c r="J68" i="70"/>
  <c r="I68" i="70"/>
  <c r="H68" i="70"/>
  <c r="G68" i="70"/>
  <c r="F68" i="70"/>
  <c r="E68" i="70"/>
  <c r="D68" i="70"/>
  <c r="AG66" i="70"/>
  <c r="AE66" i="70"/>
  <c r="AC66" i="70"/>
  <c r="AC97" i="70" s="1"/>
  <c r="AA66" i="70"/>
  <c r="AA97" i="70" s="1"/>
  <c r="W66" i="70"/>
  <c r="Q66" i="70"/>
  <c r="Q61" i="70" s="1"/>
  <c r="P66" i="70"/>
  <c r="O66" i="70"/>
  <c r="L66" i="70"/>
  <c r="K66" i="70"/>
  <c r="J66" i="70"/>
  <c r="J61" i="70" s="1"/>
  <c r="I66" i="70"/>
  <c r="H66" i="70"/>
  <c r="G66" i="70"/>
  <c r="G61" i="70" s="1"/>
  <c r="AI65" i="70"/>
  <c r="AG65" i="70"/>
  <c r="AG61" i="70" s="1"/>
  <c r="AE65" i="70"/>
  <c r="AC65" i="70"/>
  <c r="AA65" i="70"/>
  <c r="AI64" i="70"/>
  <c r="AE64" i="70"/>
  <c r="AC64" i="70"/>
  <c r="AA64" i="70"/>
  <c r="AI63" i="70"/>
  <c r="AE63" i="70"/>
  <c r="AE61" i="70" s="1"/>
  <c r="AC63" i="70"/>
  <c r="AA63" i="70"/>
  <c r="Z63" i="70"/>
  <c r="Z94" i="70" s="1"/>
  <c r="W63" i="70"/>
  <c r="W61" i="70" s="1"/>
  <c r="U63" i="70"/>
  <c r="U61" i="70" s="1"/>
  <c r="S63" i="70"/>
  <c r="P63" i="70"/>
  <c r="P61" i="70" s="1"/>
  <c r="O63" i="70"/>
  <c r="N63" i="70"/>
  <c r="N94" i="70" s="1"/>
  <c r="M63" i="70"/>
  <c r="K63" i="70"/>
  <c r="K61" i="70" s="1"/>
  <c r="I63" i="70"/>
  <c r="H63" i="70"/>
  <c r="H61" i="70" s="1"/>
  <c r="G63" i="70"/>
  <c r="AP61" i="70"/>
  <c r="AO61" i="70"/>
  <c r="AN61" i="70"/>
  <c r="AK61" i="70"/>
  <c r="AH61" i="70"/>
  <c r="AF61" i="70"/>
  <c r="AD61" i="70"/>
  <c r="AB61" i="70"/>
  <c r="Y61" i="70"/>
  <c r="X61" i="70"/>
  <c r="V61" i="70"/>
  <c r="T61" i="70"/>
  <c r="S61" i="70"/>
  <c r="R61" i="70"/>
  <c r="N61" i="70"/>
  <c r="M61" i="70"/>
  <c r="L61" i="70"/>
  <c r="I61" i="70"/>
  <c r="F61" i="70"/>
  <c r="E61" i="70"/>
  <c r="AI60" i="70"/>
  <c r="AE60" i="70"/>
  <c r="AC60" i="70"/>
  <c r="AI59" i="70"/>
  <c r="AI54" i="70" s="1"/>
  <c r="AE59" i="70"/>
  <c r="W59" i="70"/>
  <c r="O59" i="70"/>
  <c r="AJ58" i="70"/>
  <c r="AI58" i="70"/>
  <c r="AH58" i="70"/>
  <c r="AH96" i="70" s="1"/>
  <c r="AF58" i="70"/>
  <c r="AF96" i="70" s="1"/>
  <c r="AD58" i="70"/>
  <c r="AD54" i="70" s="1"/>
  <c r="AC58" i="70"/>
  <c r="AA58" i="70"/>
  <c r="W58" i="70"/>
  <c r="W96" i="70" s="1"/>
  <c r="U58" i="70"/>
  <c r="U96" i="70" s="1"/>
  <c r="S58" i="70"/>
  <c r="S96" i="70" s="1"/>
  <c r="Q58" i="70"/>
  <c r="Q96" i="70" s="1"/>
  <c r="O58" i="70"/>
  <c r="O96" i="70" s="1"/>
  <c r="K58" i="70"/>
  <c r="K96" i="70" s="1"/>
  <c r="I58" i="70"/>
  <c r="I96" i="70" s="1"/>
  <c r="G58" i="70"/>
  <c r="G96" i="70" s="1"/>
  <c r="AJ57" i="70"/>
  <c r="AI57" i="70"/>
  <c r="AF57" i="70"/>
  <c r="AF95" i="70" s="1"/>
  <c r="AC57" i="70"/>
  <c r="AA57" i="70"/>
  <c r="W57" i="70"/>
  <c r="W95" i="70" s="1"/>
  <c r="U57" i="70"/>
  <c r="U95" i="70" s="1"/>
  <c r="S57" i="70"/>
  <c r="S95" i="70" s="1"/>
  <c r="Q57" i="70"/>
  <c r="Q95" i="70" s="1"/>
  <c r="O57" i="70"/>
  <c r="O95" i="70" s="1"/>
  <c r="K57" i="70"/>
  <c r="K95" i="70" s="1"/>
  <c r="I57" i="70"/>
  <c r="I95" i="70" s="1"/>
  <c r="G57" i="70"/>
  <c r="G95" i="70" s="1"/>
  <c r="AJ56" i="70"/>
  <c r="AJ54" i="70" s="1"/>
  <c r="AI56" i="70"/>
  <c r="AF56" i="70"/>
  <c r="AE56" i="70" s="1"/>
  <c r="AC56" i="70"/>
  <c r="AA56" i="70"/>
  <c r="W56" i="70"/>
  <c r="V56" i="70"/>
  <c r="V54" i="70" s="1"/>
  <c r="U56" i="70"/>
  <c r="S56" i="70"/>
  <c r="S54" i="70" s="1"/>
  <c r="Q56" i="70"/>
  <c r="O56" i="70"/>
  <c r="M56" i="70"/>
  <c r="K56" i="70"/>
  <c r="I56" i="70"/>
  <c r="G56" i="70"/>
  <c r="G54" i="70" s="1"/>
  <c r="AP54" i="70"/>
  <c r="AO54" i="70"/>
  <c r="AR54" i="70" s="1"/>
  <c r="AG54" i="70"/>
  <c r="AF54" i="70"/>
  <c r="AB54" i="70"/>
  <c r="AA54" i="70"/>
  <c r="Z54" i="70"/>
  <c r="Y54" i="70"/>
  <c r="X54" i="70"/>
  <c r="T54" i="70"/>
  <c r="R54" i="70"/>
  <c r="P54" i="70"/>
  <c r="N54" i="70"/>
  <c r="M54" i="70"/>
  <c r="L54" i="70"/>
  <c r="J54" i="70"/>
  <c r="H54" i="70"/>
  <c r="F54" i="70"/>
  <c r="E54" i="70"/>
  <c r="D54" i="70"/>
  <c r="AI50" i="70"/>
  <c r="AI49" i="70"/>
  <c r="AP47" i="70"/>
  <c r="AO47" i="70"/>
  <c r="AR47" i="70" s="1"/>
  <c r="AN47" i="70"/>
  <c r="AL47" i="70"/>
  <c r="AJ47" i="70"/>
  <c r="AH47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U47" i="70"/>
  <c r="T47" i="70"/>
  <c r="S47" i="70"/>
  <c r="R47" i="70"/>
  <c r="Q47" i="70"/>
  <c r="P47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AJ46" i="70"/>
  <c r="AJ98" i="70" s="1"/>
  <c r="AI46" i="70"/>
  <c r="AI98" i="70" s="1"/>
  <c r="AE46" i="70"/>
  <c r="AC46" i="70"/>
  <c r="AA46" i="70"/>
  <c r="AA98" i="70" s="1"/>
  <c r="AM97" i="70"/>
  <c r="AK45" i="70"/>
  <c r="AK97" i="70" s="1"/>
  <c r="AI45" i="70"/>
  <c r="AG45" i="70"/>
  <c r="AG97" i="70" s="1"/>
  <c r="AE45" i="70"/>
  <c r="AE97" i="70" s="1"/>
  <c r="X45" i="70"/>
  <c r="X97" i="70" s="1"/>
  <c r="W45" i="70"/>
  <c r="W97" i="70" s="1"/>
  <c r="V45" i="70"/>
  <c r="U45" i="70"/>
  <c r="U97" i="70" s="1"/>
  <c r="T45" i="70"/>
  <c r="T97" i="70" s="1"/>
  <c r="S45" i="70"/>
  <c r="S97" i="70" s="1"/>
  <c r="R45" i="70"/>
  <c r="R97" i="70" s="1"/>
  <c r="Q45" i="70"/>
  <c r="P45" i="70"/>
  <c r="O45" i="70"/>
  <c r="O97" i="70" s="1"/>
  <c r="N45" i="70"/>
  <c r="N40" i="70" s="1"/>
  <c r="M45" i="70"/>
  <c r="M97" i="70" s="1"/>
  <c r="L45" i="70"/>
  <c r="L97" i="70" s="1"/>
  <c r="K45" i="70"/>
  <c r="K97" i="70" s="1"/>
  <c r="J45" i="70"/>
  <c r="J40" i="70" s="1"/>
  <c r="I45" i="70"/>
  <c r="I97" i="70" s="1"/>
  <c r="H45" i="70"/>
  <c r="H97" i="70" s="1"/>
  <c r="G45" i="70"/>
  <c r="AN96" i="70"/>
  <c r="AJ44" i="70"/>
  <c r="AJ40" i="70" s="1"/>
  <c r="AI44" i="70"/>
  <c r="AG44" i="70"/>
  <c r="AG96" i="70" s="1"/>
  <c r="AE44" i="70"/>
  <c r="AE40" i="70" s="1"/>
  <c r="AC44" i="70"/>
  <c r="AA44" i="70"/>
  <c r="AA96" i="70" s="1"/>
  <c r="AJ43" i="70"/>
  <c r="AJ95" i="70" s="1"/>
  <c r="AI43" i="70"/>
  <c r="AE43" i="70"/>
  <c r="AC43" i="70"/>
  <c r="AA43" i="70"/>
  <c r="AA95" i="70" s="1"/>
  <c r="AN94" i="70"/>
  <c r="AJ42" i="70"/>
  <c r="AI42" i="70"/>
  <c r="AG42" i="70"/>
  <c r="AE42" i="70"/>
  <c r="AC42" i="70"/>
  <c r="AA42" i="70"/>
  <c r="AA94" i="70" s="1"/>
  <c r="X42" i="70"/>
  <c r="X94" i="70" s="1"/>
  <c r="W42" i="70"/>
  <c r="W94" i="70" s="1"/>
  <c r="V42" i="70"/>
  <c r="U42" i="70"/>
  <c r="S42" i="70"/>
  <c r="S40" i="70" s="1"/>
  <c r="R42" i="70"/>
  <c r="Q42" i="70"/>
  <c r="Q40" i="70" s="1"/>
  <c r="F42" i="70"/>
  <c r="F94" i="70" s="1"/>
  <c r="AP40" i="70"/>
  <c r="AN40" i="70"/>
  <c r="AL40" i="70"/>
  <c r="AH40" i="70"/>
  <c r="AF40" i="70"/>
  <c r="AD40" i="70"/>
  <c r="AC40" i="70"/>
  <c r="AB40" i="70"/>
  <c r="Z40" i="70"/>
  <c r="Y40" i="70"/>
  <c r="U40" i="70"/>
  <c r="T40" i="70"/>
  <c r="P40" i="70"/>
  <c r="I40" i="70"/>
  <c r="H40" i="70"/>
  <c r="E40" i="70"/>
  <c r="AI35" i="70"/>
  <c r="AI33" i="70" s="1"/>
  <c r="AG35" i="70"/>
  <c r="AG33" i="70" s="1"/>
  <c r="AE35" i="70"/>
  <c r="AE33" i="70" s="1"/>
  <c r="AC35" i="70"/>
  <c r="AC94" i="70" s="1"/>
  <c r="S35" i="70"/>
  <c r="AP33" i="70"/>
  <c r="AO33" i="70"/>
  <c r="AN33" i="70"/>
  <c r="AL33" i="70"/>
  <c r="AJ33" i="70"/>
  <c r="AH33" i="70"/>
  <c r="AF33" i="70"/>
  <c r="AD33" i="70"/>
  <c r="AC33" i="70"/>
  <c r="AB33" i="70"/>
  <c r="AA33" i="70"/>
  <c r="Z33" i="70"/>
  <c r="Y33" i="70"/>
  <c r="X33" i="70"/>
  <c r="W33" i="70"/>
  <c r="V33" i="70"/>
  <c r="U33" i="70"/>
  <c r="T33" i="70"/>
  <c r="R33" i="70"/>
  <c r="Q33" i="70"/>
  <c r="P33" i="70"/>
  <c r="O33" i="70"/>
  <c r="N33" i="70"/>
  <c r="M33" i="70"/>
  <c r="L33" i="70"/>
  <c r="K33" i="70"/>
  <c r="J33" i="70"/>
  <c r="I33" i="70"/>
  <c r="H33" i="70"/>
  <c r="G33" i="70"/>
  <c r="F33" i="70"/>
  <c r="E33" i="70"/>
  <c r="D33" i="70"/>
  <c r="C33" i="70"/>
  <c r="C93" i="70" s="1"/>
  <c r="C100" i="70" s="1"/>
  <c r="C103" i="70" s="1"/>
  <c r="AP27" i="70"/>
  <c r="AO27" i="70"/>
  <c r="AN27" i="70"/>
  <c r="AM27" i="70"/>
  <c r="AP21" i="70"/>
  <c r="AN21" i="70"/>
  <c r="AP15" i="70"/>
  <c r="AO15" i="70"/>
  <c r="AN15" i="70"/>
  <c r="F14" i="70"/>
  <c r="F98" i="70" s="1"/>
  <c r="AI12" i="70"/>
  <c r="AE12" i="70"/>
  <c r="AI11" i="70"/>
  <c r="AI95" i="70" s="1"/>
  <c r="AE11" i="70"/>
  <c r="AI10" i="70"/>
  <c r="AI94" i="70" s="1"/>
  <c r="AG10" i="70"/>
  <c r="AG8" i="70" s="1"/>
  <c r="AF10" i="70"/>
  <c r="AE10" i="70" s="1"/>
  <c r="AE94" i="70" s="1"/>
  <c r="O10" i="70"/>
  <c r="O94" i="70" s="1"/>
  <c r="M10" i="70"/>
  <c r="M94" i="70" s="1"/>
  <c r="K10" i="70"/>
  <c r="K94" i="70" s="1"/>
  <c r="I10" i="70"/>
  <c r="I94" i="70" s="1"/>
  <c r="G10" i="70"/>
  <c r="G94" i="70" s="1"/>
  <c r="AR8" i="70"/>
  <c r="AN8" i="70"/>
  <c r="AM8" i="70"/>
  <c r="AH8" i="70"/>
  <c r="AD8" i="70"/>
  <c r="AC8" i="70"/>
  <c r="AB8" i="70"/>
  <c r="AA8" i="70"/>
  <c r="Z8" i="70"/>
  <c r="Y8" i="70"/>
  <c r="X8" i="70"/>
  <c r="W8" i="70"/>
  <c r="V8" i="70"/>
  <c r="U8" i="70"/>
  <c r="T8" i="70"/>
  <c r="S8" i="70"/>
  <c r="R8" i="70"/>
  <c r="Q8" i="70"/>
  <c r="P8" i="70"/>
  <c r="N8" i="70"/>
  <c r="L8" i="70"/>
  <c r="K8" i="70"/>
  <c r="J8" i="70"/>
  <c r="I8" i="70"/>
  <c r="H8" i="70"/>
  <c r="E8" i="70"/>
  <c r="AN44" i="69"/>
  <c r="AN43" i="69"/>
  <c r="AN42" i="69"/>
  <c r="AM43" i="69"/>
  <c r="AO45" i="69"/>
  <c r="AO40" i="69" s="1"/>
  <c r="AM42" i="69"/>
  <c r="AM46" i="69"/>
  <c r="AM45" i="69"/>
  <c r="AM44" i="69"/>
  <c r="AM22" i="69"/>
  <c r="AM16" i="69"/>
  <c r="AN58" i="69"/>
  <c r="AN57" i="69"/>
  <c r="AN56" i="69"/>
  <c r="AM59" i="69"/>
  <c r="AM58" i="69"/>
  <c r="AM57" i="69"/>
  <c r="AM56" i="69"/>
  <c r="AM35" i="69"/>
  <c r="AM33" i="69" s="1"/>
  <c r="AM52" i="69"/>
  <c r="AM50" i="69"/>
  <c r="AM49" i="69"/>
  <c r="AM65" i="69"/>
  <c r="AM64" i="69"/>
  <c r="AM63" i="69"/>
  <c r="AP98" i="69"/>
  <c r="AO98" i="69"/>
  <c r="AN98" i="69"/>
  <c r="AM98" i="69"/>
  <c r="AL98" i="69"/>
  <c r="AK98" i="69"/>
  <c r="AH98" i="69"/>
  <c r="AG98" i="69"/>
  <c r="AF98" i="69"/>
  <c r="AD98" i="69"/>
  <c r="AB98" i="69"/>
  <c r="Z98" i="69"/>
  <c r="Y98" i="69"/>
  <c r="X98" i="69"/>
  <c r="W98" i="69"/>
  <c r="V98" i="69"/>
  <c r="U98" i="69"/>
  <c r="T98" i="69"/>
  <c r="S98" i="69"/>
  <c r="R98" i="69"/>
  <c r="Q98" i="69"/>
  <c r="P98" i="69"/>
  <c r="O98" i="69"/>
  <c r="N98" i="69"/>
  <c r="M98" i="69"/>
  <c r="L98" i="69"/>
  <c r="K98" i="69"/>
  <c r="J98" i="69"/>
  <c r="H98" i="69"/>
  <c r="E98" i="69"/>
  <c r="D98" i="69"/>
  <c r="C98" i="69"/>
  <c r="AP97" i="69"/>
  <c r="AO97" i="69"/>
  <c r="AN97" i="69"/>
  <c r="AL97" i="69"/>
  <c r="AJ97" i="69"/>
  <c r="AH97" i="69"/>
  <c r="AF97" i="69"/>
  <c r="AD97" i="69"/>
  <c r="AB97" i="69"/>
  <c r="Z97" i="69"/>
  <c r="Y97" i="69"/>
  <c r="F97" i="69"/>
  <c r="E97" i="69"/>
  <c r="D97" i="69"/>
  <c r="C97" i="69"/>
  <c r="AP96" i="69"/>
  <c r="AO96" i="69"/>
  <c r="AL96" i="69"/>
  <c r="AK96" i="69"/>
  <c r="AB96" i="69"/>
  <c r="Z96" i="69"/>
  <c r="Y96" i="69"/>
  <c r="X96" i="69"/>
  <c r="V96" i="69"/>
  <c r="T96" i="69"/>
  <c r="R96" i="69"/>
  <c r="P96" i="69"/>
  <c r="N96" i="69"/>
  <c r="M96" i="69"/>
  <c r="L96" i="69"/>
  <c r="J96" i="69"/>
  <c r="H96" i="69"/>
  <c r="F96" i="69"/>
  <c r="E96" i="69"/>
  <c r="D96" i="69"/>
  <c r="C96" i="69"/>
  <c r="AP95" i="69"/>
  <c r="AO95" i="69"/>
  <c r="AL95" i="69"/>
  <c r="AK95" i="69"/>
  <c r="AH95" i="69"/>
  <c r="AG95" i="69"/>
  <c r="AD95" i="69"/>
  <c r="AB95" i="69"/>
  <c r="Z95" i="69"/>
  <c r="Y95" i="69"/>
  <c r="X95" i="69"/>
  <c r="V95" i="69"/>
  <c r="T95" i="69"/>
  <c r="R95" i="69"/>
  <c r="P95" i="69"/>
  <c r="N95" i="69"/>
  <c r="M95" i="69"/>
  <c r="L95" i="69"/>
  <c r="J95" i="69"/>
  <c r="H95" i="69"/>
  <c r="F95" i="69"/>
  <c r="E95" i="69"/>
  <c r="D95" i="69"/>
  <c r="C95" i="69"/>
  <c r="AP94" i="69"/>
  <c r="AO94" i="69"/>
  <c r="AL94" i="69"/>
  <c r="AK94" i="69"/>
  <c r="AH94" i="69"/>
  <c r="Y94" i="69"/>
  <c r="E94" i="69"/>
  <c r="D94" i="69"/>
  <c r="C94" i="69"/>
  <c r="D91" i="69"/>
  <c r="C91" i="69"/>
  <c r="Z89" i="69"/>
  <c r="Y89" i="69"/>
  <c r="X89" i="69"/>
  <c r="W89" i="69"/>
  <c r="V89" i="69"/>
  <c r="U89" i="69"/>
  <c r="T89" i="69"/>
  <c r="S89" i="69"/>
  <c r="R89" i="69"/>
  <c r="Q89" i="69"/>
  <c r="P89" i="69"/>
  <c r="O89" i="69"/>
  <c r="N89" i="69"/>
  <c r="M89" i="69"/>
  <c r="L89" i="69"/>
  <c r="K89" i="69"/>
  <c r="J89" i="69"/>
  <c r="I89" i="69"/>
  <c r="H89" i="69"/>
  <c r="G89" i="69"/>
  <c r="F89" i="69"/>
  <c r="E89" i="69"/>
  <c r="AP82" i="69"/>
  <c r="AO82" i="69"/>
  <c r="AR82" i="69" s="1"/>
  <c r="AN82" i="69"/>
  <c r="AM82" i="69"/>
  <c r="AL82" i="69"/>
  <c r="AJ82" i="69"/>
  <c r="AI82" i="69"/>
  <c r="AH82" i="69"/>
  <c r="AG82" i="69"/>
  <c r="AF82" i="69"/>
  <c r="AE82" i="69"/>
  <c r="AD82" i="69"/>
  <c r="AC82" i="69"/>
  <c r="AB82" i="69"/>
  <c r="AA82" i="69"/>
  <c r="Z82" i="69"/>
  <c r="Y82" i="69"/>
  <c r="X82" i="69"/>
  <c r="W82" i="69"/>
  <c r="V82" i="69"/>
  <c r="U82" i="69"/>
  <c r="T82" i="69"/>
  <c r="S82" i="69"/>
  <c r="R82" i="69"/>
  <c r="Q82" i="69"/>
  <c r="P82" i="69"/>
  <c r="O82" i="69"/>
  <c r="N82" i="69"/>
  <c r="M82" i="69"/>
  <c r="L82" i="69"/>
  <c r="K82" i="69"/>
  <c r="J82" i="69"/>
  <c r="I82" i="69"/>
  <c r="H82" i="69"/>
  <c r="G82" i="69"/>
  <c r="F82" i="69"/>
  <c r="E82" i="69"/>
  <c r="D82" i="69"/>
  <c r="I81" i="69"/>
  <c r="G81" i="69"/>
  <c r="G98" i="69" s="1"/>
  <c r="AA80" i="69"/>
  <c r="AC79" i="69"/>
  <c r="AE78" i="69"/>
  <c r="AC78" i="69"/>
  <c r="AA78" i="69"/>
  <c r="AA75" i="69" s="1"/>
  <c r="AD77" i="69"/>
  <c r="AD75" i="69" s="1"/>
  <c r="AC77" i="69"/>
  <c r="AC75" i="69" s="1"/>
  <c r="AB77" i="69"/>
  <c r="AB94" i="69" s="1"/>
  <c r="AA77" i="69"/>
  <c r="X77" i="69"/>
  <c r="W77" i="69"/>
  <c r="V77" i="69"/>
  <c r="U77" i="69"/>
  <c r="U75" i="69" s="1"/>
  <c r="T77" i="69"/>
  <c r="T94" i="69" s="1"/>
  <c r="S77" i="69"/>
  <c r="P77" i="69"/>
  <c r="P75" i="69" s="1"/>
  <c r="O77" i="69"/>
  <c r="L77" i="69"/>
  <c r="L94" i="69" s="1"/>
  <c r="K77" i="69"/>
  <c r="J77" i="69"/>
  <c r="J94" i="69" s="1"/>
  <c r="I77" i="69"/>
  <c r="H77" i="69"/>
  <c r="H75" i="69" s="1"/>
  <c r="G77" i="69"/>
  <c r="F77" i="69"/>
  <c r="F75" i="69" s="1"/>
  <c r="AP75" i="69"/>
  <c r="AO75" i="69"/>
  <c r="AR75" i="69" s="1"/>
  <c r="AN75" i="69"/>
  <c r="AM75" i="69"/>
  <c r="AI75" i="69"/>
  <c r="AH75" i="69"/>
  <c r="AG75" i="69"/>
  <c r="AF75" i="69"/>
  <c r="AE75" i="69"/>
  <c r="Z75" i="69"/>
  <c r="Y75" i="69"/>
  <c r="X75" i="69"/>
  <c r="W75" i="69"/>
  <c r="V75" i="69"/>
  <c r="S75" i="69"/>
  <c r="R75" i="69"/>
  <c r="Q75" i="69"/>
  <c r="O75" i="69"/>
  <c r="N75" i="69"/>
  <c r="M75" i="69"/>
  <c r="L75" i="69"/>
  <c r="K75" i="69"/>
  <c r="J75" i="69"/>
  <c r="E75" i="69"/>
  <c r="D75" i="69"/>
  <c r="Z68" i="69"/>
  <c r="Y68" i="69"/>
  <c r="X68" i="69"/>
  <c r="W68" i="69"/>
  <c r="V68" i="69"/>
  <c r="U68" i="69"/>
  <c r="T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E68" i="69"/>
  <c r="D68" i="69"/>
  <c r="AG66" i="69"/>
  <c r="AE66" i="69"/>
  <c r="AC66" i="69"/>
  <c r="AC97" i="69" s="1"/>
  <c r="AA66" i="69"/>
  <c r="AA97" i="69" s="1"/>
  <c r="W66" i="69"/>
  <c r="Q66" i="69"/>
  <c r="Q61" i="69" s="1"/>
  <c r="P66" i="69"/>
  <c r="O66" i="69"/>
  <c r="L66" i="69"/>
  <c r="K66" i="69"/>
  <c r="J66" i="69"/>
  <c r="I66" i="69"/>
  <c r="H66" i="69"/>
  <c r="G66" i="69"/>
  <c r="AI65" i="69"/>
  <c r="AG65" i="69"/>
  <c r="AG61" i="69" s="1"/>
  <c r="AE65" i="69"/>
  <c r="AC65" i="69"/>
  <c r="AA65" i="69"/>
  <c r="AI64" i="69"/>
  <c r="AE64" i="69"/>
  <c r="AC64" i="69"/>
  <c r="AA64" i="69"/>
  <c r="AI63" i="69"/>
  <c r="AI61" i="69" s="1"/>
  <c r="AE63" i="69"/>
  <c r="AC63" i="69"/>
  <c r="AA63" i="69"/>
  <c r="Z63" i="69"/>
  <c r="Z94" i="69" s="1"/>
  <c r="W63" i="69"/>
  <c r="W61" i="69" s="1"/>
  <c r="U63" i="69"/>
  <c r="U61" i="69" s="1"/>
  <c r="S63" i="69"/>
  <c r="P63" i="69"/>
  <c r="P61" i="69" s="1"/>
  <c r="O63" i="69"/>
  <c r="N63" i="69"/>
  <c r="N94" i="69" s="1"/>
  <c r="M63" i="69"/>
  <c r="K63" i="69"/>
  <c r="K61" i="69" s="1"/>
  <c r="I63" i="69"/>
  <c r="H63" i="69"/>
  <c r="H61" i="69" s="1"/>
  <c r="G63" i="69"/>
  <c r="AP61" i="69"/>
  <c r="AO61" i="69"/>
  <c r="AN61" i="69"/>
  <c r="AK61" i="69"/>
  <c r="AH61" i="69"/>
  <c r="AF61" i="69"/>
  <c r="AD61" i="69"/>
  <c r="AB61" i="69"/>
  <c r="Y61" i="69"/>
  <c r="X61" i="69"/>
  <c r="V61" i="69"/>
  <c r="T61" i="69"/>
  <c r="S61" i="69"/>
  <c r="R61" i="69"/>
  <c r="N61" i="69"/>
  <c r="M61" i="69"/>
  <c r="L61" i="69"/>
  <c r="J61" i="69"/>
  <c r="I61" i="69"/>
  <c r="G61" i="69"/>
  <c r="F61" i="69"/>
  <c r="E61" i="69"/>
  <c r="AI60" i="69"/>
  <c r="AE60" i="69"/>
  <c r="AC60" i="69"/>
  <c r="AI59" i="69"/>
  <c r="AE59" i="69"/>
  <c r="W59" i="69"/>
  <c r="O59" i="69"/>
  <c r="AJ58" i="69"/>
  <c r="AI58" i="69"/>
  <c r="AH58" i="69"/>
  <c r="AH96" i="69" s="1"/>
  <c r="AF58" i="69"/>
  <c r="AE58" i="69" s="1"/>
  <c r="AD58" i="69"/>
  <c r="AD96" i="69" s="1"/>
  <c r="AC58" i="69"/>
  <c r="AA58" i="69"/>
  <c r="W58" i="69"/>
  <c r="W96" i="69" s="1"/>
  <c r="U58" i="69"/>
  <c r="U96" i="69" s="1"/>
  <c r="S58" i="69"/>
  <c r="S96" i="69" s="1"/>
  <c r="Q58" i="69"/>
  <c r="Q96" i="69" s="1"/>
  <c r="O58" i="69"/>
  <c r="O96" i="69" s="1"/>
  <c r="K58" i="69"/>
  <c r="K96" i="69" s="1"/>
  <c r="I58" i="69"/>
  <c r="I96" i="69" s="1"/>
  <c r="G58" i="69"/>
  <c r="G96" i="69" s="1"/>
  <c r="AJ57" i="69"/>
  <c r="AI57" i="69"/>
  <c r="AF57" i="69"/>
  <c r="AF95" i="69" s="1"/>
  <c r="AE57" i="69"/>
  <c r="AC57" i="69"/>
  <c r="AA57" i="69"/>
  <c r="W57" i="69"/>
  <c r="W95" i="69" s="1"/>
  <c r="U57" i="69"/>
  <c r="U95" i="69" s="1"/>
  <c r="S57" i="69"/>
  <c r="S95" i="69" s="1"/>
  <c r="Q57" i="69"/>
  <c r="Q95" i="69" s="1"/>
  <c r="O57" i="69"/>
  <c r="O95" i="69" s="1"/>
  <c r="K57" i="69"/>
  <c r="K95" i="69" s="1"/>
  <c r="I57" i="69"/>
  <c r="G57" i="69"/>
  <c r="G95" i="69" s="1"/>
  <c r="AJ56" i="69"/>
  <c r="AJ54" i="69" s="1"/>
  <c r="AI56" i="69"/>
  <c r="AI54" i="69" s="1"/>
  <c r="AF56" i="69"/>
  <c r="AE56" i="69"/>
  <c r="AC56" i="69"/>
  <c r="AA56" i="69"/>
  <c r="AA54" i="69" s="1"/>
  <c r="W56" i="69"/>
  <c r="W54" i="69" s="1"/>
  <c r="V56" i="69"/>
  <c r="V54" i="69" s="1"/>
  <c r="U56" i="69"/>
  <c r="S56" i="69"/>
  <c r="S54" i="69" s="1"/>
  <c r="Q56" i="69"/>
  <c r="O56" i="69"/>
  <c r="O54" i="69" s="1"/>
  <c r="M56" i="69"/>
  <c r="M54" i="69" s="1"/>
  <c r="K56" i="69"/>
  <c r="K54" i="69" s="1"/>
  <c r="I56" i="69"/>
  <c r="G56" i="69"/>
  <c r="G54" i="69" s="1"/>
  <c r="AP54" i="69"/>
  <c r="AO54" i="69"/>
  <c r="AR54" i="69" s="1"/>
  <c r="AH54" i="69"/>
  <c r="AG54" i="69"/>
  <c r="AF54" i="69"/>
  <c r="AB54" i="69"/>
  <c r="Z54" i="69"/>
  <c r="Y54" i="69"/>
  <c r="X54" i="69"/>
  <c r="T54" i="69"/>
  <c r="R54" i="69"/>
  <c r="Q54" i="69"/>
  <c r="P54" i="69"/>
  <c r="N54" i="69"/>
  <c r="L54" i="69"/>
  <c r="J54" i="69"/>
  <c r="H54" i="69"/>
  <c r="F54" i="69"/>
  <c r="E54" i="69"/>
  <c r="D54" i="69"/>
  <c r="AI52" i="69"/>
  <c r="AI50" i="69"/>
  <c r="AI49" i="69"/>
  <c r="AP47" i="69"/>
  <c r="AO47" i="69"/>
  <c r="AR47" i="69" s="1"/>
  <c r="AN47" i="69"/>
  <c r="AL47" i="69"/>
  <c r="AJ47" i="69"/>
  <c r="AH47" i="69"/>
  <c r="AG47" i="69"/>
  <c r="AF47" i="69"/>
  <c r="AE47" i="69"/>
  <c r="AD47" i="69"/>
  <c r="AC47" i="69"/>
  <c r="AB47" i="69"/>
  <c r="AA47" i="69"/>
  <c r="Z47" i="69"/>
  <c r="Y47" i="69"/>
  <c r="X47" i="69"/>
  <c r="W47" i="69"/>
  <c r="V47" i="69"/>
  <c r="U47" i="69"/>
  <c r="T47" i="69"/>
  <c r="S47" i="69"/>
  <c r="R47" i="69"/>
  <c r="Q47" i="69"/>
  <c r="P47" i="69"/>
  <c r="O47" i="69"/>
  <c r="N47" i="69"/>
  <c r="M47" i="69"/>
  <c r="L47" i="69"/>
  <c r="K47" i="69"/>
  <c r="J47" i="69"/>
  <c r="I47" i="69"/>
  <c r="H47" i="69"/>
  <c r="G47" i="69"/>
  <c r="F47" i="69"/>
  <c r="E47" i="69"/>
  <c r="D47" i="69"/>
  <c r="AJ46" i="69"/>
  <c r="AJ98" i="69" s="1"/>
  <c r="AI46" i="69"/>
  <c r="AI98" i="69" s="1"/>
  <c r="AE46" i="69"/>
  <c r="AE98" i="69" s="1"/>
  <c r="AC46" i="69"/>
  <c r="AA46" i="69"/>
  <c r="AA98" i="69" s="1"/>
  <c r="AK45" i="69"/>
  <c r="AK97" i="69" s="1"/>
  <c r="AI45" i="69"/>
  <c r="AG45" i="69"/>
  <c r="AG97" i="69" s="1"/>
  <c r="AE45" i="69"/>
  <c r="AE97" i="69" s="1"/>
  <c r="X45" i="69"/>
  <c r="W45" i="69"/>
  <c r="V45" i="69"/>
  <c r="V97" i="69" s="1"/>
  <c r="U45" i="69"/>
  <c r="T45" i="69"/>
  <c r="T40" i="69" s="1"/>
  <c r="S45" i="69"/>
  <c r="S97" i="69" s="1"/>
  <c r="R45" i="69"/>
  <c r="R97" i="69" s="1"/>
  <c r="Q45" i="69"/>
  <c r="Q97" i="69" s="1"/>
  <c r="P45" i="69"/>
  <c r="P40" i="69" s="1"/>
  <c r="O45" i="69"/>
  <c r="N45" i="69"/>
  <c r="N97" i="69" s="1"/>
  <c r="M45" i="69"/>
  <c r="M40" i="69" s="1"/>
  <c r="L45" i="69"/>
  <c r="L40" i="69" s="1"/>
  <c r="K45" i="69"/>
  <c r="K97" i="69" s="1"/>
  <c r="J45" i="69"/>
  <c r="J97" i="69" s="1"/>
  <c r="I45" i="69"/>
  <c r="I40" i="69" s="1"/>
  <c r="H45" i="69"/>
  <c r="H40" i="69" s="1"/>
  <c r="G45" i="69"/>
  <c r="G97" i="69" s="1"/>
  <c r="AJ44" i="69"/>
  <c r="AJ96" i="69" s="1"/>
  <c r="AI44" i="69"/>
  <c r="AG44" i="69"/>
  <c r="AE44" i="69"/>
  <c r="AC44" i="69"/>
  <c r="AA44" i="69"/>
  <c r="AJ43" i="69"/>
  <c r="AJ95" i="69" s="1"/>
  <c r="AI43" i="69"/>
  <c r="AE43" i="69"/>
  <c r="AC43" i="69"/>
  <c r="AC95" i="69" s="1"/>
  <c r="AA43" i="69"/>
  <c r="AA95" i="69" s="1"/>
  <c r="AJ42" i="69"/>
  <c r="AI42" i="69"/>
  <c r="AG42" i="69"/>
  <c r="AE42" i="69"/>
  <c r="AC42" i="69"/>
  <c r="AA42" i="69"/>
  <c r="AA94" i="69" s="1"/>
  <c r="X42" i="69"/>
  <c r="W42" i="69"/>
  <c r="W94" i="69" s="1"/>
  <c r="V42" i="69"/>
  <c r="V94" i="69" s="1"/>
  <c r="U42" i="69"/>
  <c r="U94" i="69" s="1"/>
  <c r="S42" i="69"/>
  <c r="R42" i="69"/>
  <c r="R94" i="69" s="1"/>
  <c r="Q42" i="69"/>
  <c r="Q40" i="69" s="1"/>
  <c r="F42" i="69"/>
  <c r="AP40" i="69"/>
  <c r="AL40" i="69"/>
  <c r="AK40" i="69"/>
  <c r="AK93" i="69" s="1"/>
  <c r="AK100" i="69" s="1"/>
  <c r="AH40" i="69"/>
  <c r="AG40" i="69"/>
  <c r="AF40" i="69"/>
  <c r="AD40" i="69"/>
  <c r="AB40" i="69"/>
  <c r="Z40" i="69"/>
  <c r="Y40" i="69"/>
  <c r="W40" i="69"/>
  <c r="V40" i="69"/>
  <c r="S40" i="69"/>
  <c r="R40" i="69"/>
  <c r="O40" i="69"/>
  <c r="N40" i="69"/>
  <c r="K40" i="69"/>
  <c r="J40" i="69"/>
  <c r="G40" i="69"/>
  <c r="F40" i="69"/>
  <c r="E40" i="69"/>
  <c r="AI35" i="69"/>
  <c r="AI33" i="69" s="1"/>
  <c r="AG35" i="69"/>
  <c r="AG33" i="69" s="1"/>
  <c r="AE35" i="69"/>
  <c r="AC35" i="69"/>
  <c r="S35" i="69"/>
  <c r="AP33" i="69"/>
  <c r="AO33" i="69"/>
  <c r="AR33" i="69" s="1"/>
  <c r="AN33" i="69"/>
  <c r="AL33" i="69"/>
  <c r="AJ33" i="69"/>
  <c r="AH33" i="69"/>
  <c r="AF33" i="69"/>
  <c r="AE33" i="69"/>
  <c r="AD33" i="69"/>
  <c r="AC33" i="69"/>
  <c r="AB33" i="69"/>
  <c r="AA33" i="69"/>
  <c r="Z33" i="69"/>
  <c r="Y33" i="69"/>
  <c r="X33" i="69"/>
  <c r="W33" i="69"/>
  <c r="V33" i="69"/>
  <c r="U33" i="69"/>
  <c r="T33" i="69"/>
  <c r="R33" i="69"/>
  <c r="Q33" i="69"/>
  <c r="P33" i="69"/>
  <c r="O33" i="69"/>
  <c r="N33" i="69"/>
  <c r="M33" i="69"/>
  <c r="L33" i="69"/>
  <c r="K33" i="69"/>
  <c r="J33" i="69"/>
  <c r="I33" i="69"/>
  <c r="H33" i="69"/>
  <c r="G33" i="69"/>
  <c r="F33" i="69"/>
  <c r="E33" i="69"/>
  <c r="D33" i="69"/>
  <c r="C33" i="69"/>
  <c r="C93" i="69" s="1"/>
  <c r="C100" i="69" s="1"/>
  <c r="C103" i="69" s="1"/>
  <c r="AP27" i="69"/>
  <c r="AO27" i="69"/>
  <c r="AN27" i="69"/>
  <c r="AM27" i="69"/>
  <c r="AP21" i="69"/>
  <c r="AN21" i="69"/>
  <c r="AM21" i="69"/>
  <c r="AP15" i="69"/>
  <c r="AO15" i="69"/>
  <c r="AN15" i="69"/>
  <c r="AM15" i="69"/>
  <c r="F14" i="69"/>
  <c r="F98" i="69" s="1"/>
  <c r="AI12" i="69"/>
  <c r="AI96" i="69" s="1"/>
  <c r="AE12" i="69"/>
  <c r="AI11" i="69"/>
  <c r="AI95" i="69" s="1"/>
  <c r="AE11" i="69"/>
  <c r="AE95" i="69" s="1"/>
  <c r="AI10" i="69"/>
  <c r="AG10" i="69"/>
  <c r="AG8" i="69" s="1"/>
  <c r="AF10" i="69"/>
  <c r="AE10" i="69" s="1"/>
  <c r="O10" i="69"/>
  <c r="O94" i="69" s="1"/>
  <c r="M10" i="69"/>
  <c r="M8" i="69" s="1"/>
  <c r="K10" i="69"/>
  <c r="K94" i="69" s="1"/>
  <c r="I10" i="69"/>
  <c r="I94" i="69" s="1"/>
  <c r="G10" i="69"/>
  <c r="G94" i="69" s="1"/>
  <c r="AR8" i="69"/>
  <c r="AN8" i="69"/>
  <c r="AM8" i="69"/>
  <c r="AH8" i="69"/>
  <c r="AD8" i="69"/>
  <c r="AC8" i="69"/>
  <c r="AB8" i="69"/>
  <c r="AA8" i="69"/>
  <c r="Z8" i="69"/>
  <c r="Y8" i="69"/>
  <c r="X8" i="69"/>
  <c r="W8" i="69"/>
  <c r="V8" i="69"/>
  <c r="U8" i="69"/>
  <c r="T8" i="69"/>
  <c r="S8" i="69"/>
  <c r="R8" i="69"/>
  <c r="Q8" i="69"/>
  <c r="P8" i="69"/>
  <c r="O8" i="69"/>
  <c r="N8" i="69"/>
  <c r="L8" i="69"/>
  <c r="K8" i="69"/>
  <c r="J8" i="69"/>
  <c r="H8" i="69"/>
  <c r="G8" i="69"/>
  <c r="F8" i="69"/>
  <c r="E8" i="69"/>
  <c r="AM22" i="68"/>
  <c r="AM21" i="68" s="1"/>
  <c r="AM16" i="68"/>
  <c r="AN58" i="68"/>
  <c r="AN57" i="68"/>
  <c r="AN56" i="68"/>
  <c r="AM58" i="68"/>
  <c r="AM57" i="68"/>
  <c r="AM56" i="68"/>
  <c r="AM50" i="68"/>
  <c r="AM52" i="68"/>
  <c r="AM49" i="68"/>
  <c r="AM35" i="68"/>
  <c r="AM33" i="68" s="1"/>
  <c r="AO45" i="68"/>
  <c r="AN44" i="68"/>
  <c r="AN43" i="68"/>
  <c r="AN42" i="68"/>
  <c r="AM44" i="68"/>
  <c r="AM45" i="68"/>
  <c r="AM97" i="68" s="1"/>
  <c r="AM43" i="68"/>
  <c r="AM42" i="68"/>
  <c r="AM65" i="68"/>
  <c r="AM64" i="68"/>
  <c r="AM63" i="68"/>
  <c r="AP98" i="68"/>
  <c r="AO98" i="68"/>
  <c r="AL98" i="68"/>
  <c r="AK98" i="68"/>
  <c r="AH98" i="68"/>
  <c r="AG98" i="68"/>
  <c r="AF98" i="68"/>
  <c r="AD98" i="68"/>
  <c r="AB98" i="68"/>
  <c r="Z98" i="68"/>
  <c r="Y98" i="68"/>
  <c r="X98" i="68"/>
  <c r="W98" i="68"/>
  <c r="V98" i="68"/>
  <c r="U98" i="68"/>
  <c r="T98" i="68"/>
  <c r="S98" i="68"/>
  <c r="R98" i="68"/>
  <c r="Q98" i="68"/>
  <c r="P98" i="68"/>
  <c r="O98" i="68"/>
  <c r="N98" i="68"/>
  <c r="M98" i="68"/>
  <c r="L98" i="68"/>
  <c r="K98" i="68"/>
  <c r="J98" i="68"/>
  <c r="H98" i="68"/>
  <c r="E98" i="68"/>
  <c r="D98" i="68"/>
  <c r="C98" i="68"/>
  <c r="AP97" i="68"/>
  <c r="AO97" i="68"/>
  <c r="AN97" i="68"/>
  <c r="AL97" i="68"/>
  <c r="AJ97" i="68"/>
  <c r="AH97" i="68"/>
  <c r="AF97" i="68"/>
  <c r="AD97" i="68"/>
  <c r="AB97" i="68"/>
  <c r="Z97" i="68"/>
  <c r="Y97" i="68"/>
  <c r="F97" i="68"/>
  <c r="E97" i="68"/>
  <c r="D97" i="68"/>
  <c r="C97" i="68"/>
  <c r="AP96" i="68"/>
  <c r="AO96" i="68"/>
  <c r="AL96" i="68"/>
  <c r="AK96" i="68"/>
  <c r="AB96" i="68"/>
  <c r="Z96" i="68"/>
  <c r="Y96" i="68"/>
  <c r="X96" i="68"/>
  <c r="V96" i="68"/>
  <c r="T96" i="68"/>
  <c r="R96" i="68"/>
  <c r="P96" i="68"/>
  <c r="N96" i="68"/>
  <c r="M96" i="68"/>
  <c r="L96" i="68"/>
  <c r="J96" i="68"/>
  <c r="H96" i="68"/>
  <c r="F96" i="68"/>
  <c r="E96" i="68"/>
  <c r="D96" i="68"/>
  <c r="C96" i="68"/>
  <c r="AP95" i="68"/>
  <c r="AO95" i="68"/>
  <c r="AL95" i="68"/>
  <c r="AK95" i="68"/>
  <c r="AH95" i="68"/>
  <c r="AG95" i="68"/>
  <c r="AD95" i="68"/>
  <c r="AB95" i="68"/>
  <c r="Z95" i="68"/>
  <c r="Y95" i="68"/>
  <c r="X95" i="68"/>
  <c r="V95" i="68"/>
  <c r="T95" i="68"/>
  <c r="R95" i="68"/>
  <c r="P95" i="68"/>
  <c r="N95" i="68"/>
  <c r="M95" i="68"/>
  <c r="L95" i="68"/>
  <c r="J95" i="68"/>
  <c r="H95" i="68"/>
  <c r="F95" i="68"/>
  <c r="E95" i="68"/>
  <c r="D95" i="68"/>
  <c r="C95" i="68"/>
  <c r="AP94" i="68"/>
  <c r="AO94" i="68"/>
  <c r="AL94" i="68"/>
  <c r="AK94" i="68"/>
  <c r="AH94" i="68"/>
  <c r="Y94" i="68"/>
  <c r="E94" i="68"/>
  <c r="D94" i="68"/>
  <c r="C94" i="68"/>
  <c r="D91" i="68"/>
  <c r="C91" i="68"/>
  <c r="Z89" i="68"/>
  <c r="Y89" i="68"/>
  <c r="X89" i="68"/>
  <c r="W89" i="68"/>
  <c r="V89" i="68"/>
  <c r="U89" i="68"/>
  <c r="T89" i="68"/>
  <c r="S89" i="68"/>
  <c r="R89" i="68"/>
  <c r="Q89" i="68"/>
  <c r="P89" i="68"/>
  <c r="O89" i="68"/>
  <c r="N89" i="68"/>
  <c r="M89" i="68"/>
  <c r="L89" i="68"/>
  <c r="K89" i="68"/>
  <c r="J89" i="68"/>
  <c r="I89" i="68"/>
  <c r="H89" i="68"/>
  <c r="G89" i="68"/>
  <c r="F89" i="68"/>
  <c r="E89" i="68"/>
  <c r="AP82" i="68"/>
  <c r="AO82" i="68"/>
  <c r="AR82" i="68" s="1"/>
  <c r="AN82" i="68"/>
  <c r="AM82" i="68"/>
  <c r="AQ82" i="68" s="1"/>
  <c r="AL82" i="68"/>
  <c r="AJ82" i="68"/>
  <c r="AI82" i="68"/>
  <c r="AH82" i="68"/>
  <c r="AG82" i="68"/>
  <c r="AF82" i="68"/>
  <c r="AE82" i="68"/>
  <c r="AD82" i="68"/>
  <c r="AC82" i="68"/>
  <c r="AB82" i="68"/>
  <c r="AA82" i="68"/>
  <c r="Z82" i="68"/>
  <c r="Y82" i="68"/>
  <c r="X82" i="68"/>
  <c r="W82" i="68"/>
  <c r="V82" i="68"/>
  <c r="U82" i="68"/>
  <c r="T82" i="68"/>
  <c r="S82" i="68"/>
  <c r="R82" i="68"/>
  <c r="Q82" i="68"/>
  <c r="P82" i="68"/>
  <c r="O82" i="68"/>
  <c r="N82" i="68"/>
  <c r="M82" i="68"/>
  <c r="L82" i="68"/>
  <c r="K82" i="68"/>
  <c r="J82" i="68"/>
  <c r="I82" i="68"/>
  <c r="H82" i="68"/>
  <c r="G82" i="68"/>
  <c r="F82" i="68"/>
  <c r="E82" i="68"/>
  <c r="D82" i="68"/>
  <c r="I81" i="68"/>
  <c r="I98" i="68" s="1"/>
  <c r="G81" i="68"/>
  <c r="G98" i="68" s="1"/>
  <c r="AA80" i="68"/>
  <c r="AC79" i="68"/>
  <c r="AE78" i="68"/>
  <c r="AC78" i="68"/>
  <c r="AA78" i="68"/>
  <c r="AD77" i="68"/>
  <c r="AD94" i="68" s="1"/>
  <c r="AC77" i="68"/>
  <c r="AB77" i="68"/>
  <c r="AB94" i="68" s="1"/>
  <c r="AA77" i="68"/>
  <c r="AA75" i="68" s="1"/>
  <c r="X77" i="68"/>
  <c r="W77" i="68"/>
  <c r="V77" i="68"/>
  <c r="U77" i="68"/>
  <c r="T77" i="68"/>
  <c r="T94" i="68" s="1"/>
  <c r="S77" i="68"/>
  <c r="P77" i="68"/>
  <c r="P75" i="68" s="1"/>
  <c r="O77" i="68"/>
  <c r="O75" i="68" s="1"/>
  <c r="L77" i="68"/>
  <c r="L94" i="68" s="1"/>
  <c r="K77" i="68"/>
  <c r="J77" i="68"/>
  <c r="J94" i="68" s="1"/>
  <c r="I77" i="68"/>
  <c r="H77" i="68"/>
  <c r="H75" i="68" s="1"/>
  <c r="G77" i="68"/>
  <c r="F77" i="68"/>
  <c r="AP75" i="68"/>
  <c r="AO75" i="68"/>
  <c r="AR75" i="68" s="1"/>
  <c r="AN75" i="68"/>
  <c r="AM75" i="68"/>
  <c r="AQ75" i="68" s="1"/>
  <c r="AI75" i="68"/>
  <c r="AH75" i="68"/>
  <c r="AG75" i="68"/>
  <c r="AF75" i="68"/>
  <c r="AE75" i="68"/>
  <c r="Z75" i="68"/>
  <c r="Y75" i="68"/>
  <c r="X75" i="68"/>
  <c r="W75" i="68"/>
  <c r="V75" i="68"/>
  <c r="U75" i="68"/>
  <c r="S75" i="68"/>
  <c r="R75" i="68"/>
  <c r="Q75" i="68"/>
  <c r="N75" i="68"/>
  <c r="M75" i="68"/>
  <c r="L75" i="68"/>
  <c r="K75" i="68"/>
  <c r="J75" i="68"/>
  <c r="I75" i="68"/>
  <c r="F75" i="68"/>
  <c r="E75" i="68"/>
  <c r="D75" i="68"/>
  <c r="Z68" i="68"/>
  <c r="Y68" i="68"/>
  <c r="X68" i="68"/>
  <c r="W68" i="68"/>
  <c r="V68" i="68"/>
  <c r="U68" i="68"/>
  <c r="T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E68" i="68"/>
  <c r="D68" i="68"/>
  <c r="AG66" i="68"/>
  <c r="AE66" i="68"/>
  <c r="AC66" i="68"/>
  <c r="AC97" i="68" s="1"/>
  <c r="AA66" i="68"/>
  <c r="AA97" i="68" s="1"/>
  <c r="W66" i="68"/>
  <c r="Q66" i="68"/>
  <c r="Q61" i="68" s="1"/>
  <c r="P66" i="68"/>
  <c r="O66" i="68"/>
  <c r="L66" i="68"/>
  <c r="K66" i="68"/>
  <c r="K61" i="68" s="1"/>
  <c r="J66" i="68"/>
  <c r="I66" i="68"/>
  <c r="H66" i="68"/>
  <c r="G66" i="68"/>
  <c r="AI65" i="68"/>
  <c r="AG65" i="68"/>
  <c r="AG61" i="68" s="1"/>
  <c r="AE65" i="68"/>
  <c r="AC65" i="68"/>
  <c r="AA65" i="68"/>
  <c r="AI64" i="68"/>
  <c r="AI61" i="68" s="1"/>
  <c r="AE64" i="68"/>
  <c r="AC64" i="68"/>
  <c r="AA64" i="68"/>
  <c r="AM61" i="68"/>
  <c r="AI63" i="68"/>
  <c r="AE63" i="68"/>
  <c r="AE61" i="68" s="1"/>
  <c r="AC63" i="68"/>
  <c r="AA63" i="68"/>
  <c r="Z63" i="68"/>
  <c r="Z94" i="68" s="1"/>
  <c r="W63" i="68"/>
  <c r="U63" i="68"/>
  <c r="U61" i="68" s="1"/>
  <c r="S63" i="68"/>
  <c r="S61" i="68" s="1"/>
  <c r="P63" i="68"/>
  <c r="P94" i="68" s="1"/>
  <c r="O63" i="68"/>
  <c r="N63" i="68"/>
  <c r="N94" i="68" s="1"/>
  <c r="M63" i="68"/>
  <c r="M61" i="68" s="1"/>
  <c r="K63" i="68"/>
  <c r="I63" i="68"/>
  <c r="H63" i="68"/>
  <c r="G63" i="68"/>
  <c r="AP61" i="68"/>
  <c r="AO61" i="68"/>
  <c r="AN61" i="68"/>
  <c r="AK61" i="68"/>
  <c r="AH61" i="68"/>
  <c r="AF61" i="68"/>
  <c r="AD61" i="68"/>
  <c r="AB61" i="68"/>
  <c r="Z61" i="68"/>
  <c r="Y61" i="68"/>
  <c r="X61" i="68"/>
  <c r="V61" i="68"/>
  <c r="T61" i="68"/>
  <c r="R61" i="68"/>
  <c r="P61" i="68"/>
  <c r="O61" i="68"/>
  <c r="L61" i="68"/>
  <c r="J61" i="68"/>
  <c r="I61" i="68"/>
  <c r="H61" i="68"/>
  <c r="G61" i="68"/>
  <c r="F61" i="68"/>
  <c r="E61" i="68"/>
  <c r="AI60" i="68"/>
  <c r="AE60" i="68"/>
  <c r="AC60" i="68"/>
  <c r="AI59" i="68"/>
  <c r="AE59" i="68"/>
  <c r="W59" i="68"/>
  <c r="O59" i="68"/>
  <c r="AJ58" i="68"/>
  <c r="AI58" i="68"/>
  <c r="AH58" i="68"/>
  <c r="AH96" i="68" s="1"/>
  <c r="AF58" i="68"/>
  <c r="AD58" i="68"/>
  <c r="AD96" i="68" s="1"/>
  <c r="AC58" i="68"/>
  <c r="AA58" i="68"/>
  <c r="W58" i="68"/>
  <c r="W96" i="68" s="1"/>
  <c r="U58" i="68"/>
  <c r="U96" i="68" s="1"/>
  <c r="S58" i="68"/>
  <c r="S96" i="68" s="1"/>
  <c r="Q58" i="68"/>
  <c r="Q96" i="68" s="1"/>
  <c r="O58" i="68"/>
  <c r="O96" i="68" s="1"/>
  <c r="K58" i="68"/>
  <c r="K96" i="68" s="1"/>
  <c r="I58" i="68"/>
  <c r="I96" i="68" s="1"/>
  <c r="G58" i="68"/>
  <c r="G96" i="68" s="1"/>
  <c r="AJ57" i="68"/>
  <c r="AI57" i="68"/>
  <c r="AF57" i="68"/>
  <c r="AF95" i="68" s="1"/>
  <c r="AC57" i="68"/>
  <c r="AA57" i="68"/>
  <c r="W57" i="68"/>
  <c r="W95" i="68" s="1"/>
  <c r="U57" i="68"/>
  <c r="U95" i="68" s="1"/>
  <c r="S57" i="68"/>
  <c r="S95" i="68" s="1"/>
  <c r="Q57" i="68"/>
  <c r="Q95" i="68" s="1"/>
  <c r="O57" i="68"/>
  <c r="O95" i="68" s="1"/>
  <c r="K57" i="68"/>
  <c r="K95" i="68" s="1"/>
  <c r="I57" i="68"/>
  <c r="I95" i="68" s="1"/>
  <c r="G57" i="68"/>
  <c r="G95" i="68" s="1"/>
  <c r="AN54" i="68"/>
  <c r="AJ56" i="68"/>
  <c r="AI56" i="68"/>
  <c r="AF56" i="68"/>
  <c r="AE56" i="68" s="1"/>
  <c r="AC56" i="68"/>
  <c r="AC54" i="68" s="1"/>
  <c r="AA56" i="68"/>
  <c r="AA54" i="68" s="1"/>
  <c r="W56" i="68"/>
  <c r="W54" i="68" s="1"/>
  <c r="V56" i="68"/>
  <c r="U56" i="68"/>
  <c r="U54" i="68" s="1"/>
  <c r="S56" i="68"/>
  <c r="S54" i="68" s="1"/>
  <c r="Q56" i="68"/>
  <c r="O56" i="68"/>
  <c r="M56" i="68"/>
  <c r="M54" i="68" s="1"/>
  <c r="K56" i="68"/>
  <c r="K54" i="68" s="1"/>
  <c r="I56" i="68"/>
  <c r="G56" i="68"/>
  <c r="AP54" i="68"/>
  <c r="AO54" i="68"/>
  <c r="AR54" i="68" s="1"/>
  <c r="AH54" i="68"/>
  <c r="AG54" i="68"/>
  <c r="AD54" i="68"/>
  <c r="AB54" i="68"/>
  <c r="Z54" i="68"/>
  <c r="Y54" i="68"/>
  <c r="X54" i="68"/>
  <c r="V54" i="68"/>
  <c r="T54" i="68"/>
  <c r="R54" i="68"/>
  <c r="Q54" i="68"/>
  <c r="P54" i="68"/>
  <c r="N54" i="68"/>
  <c r="L54" i="68"/>
  <c r="J54" i="68"/>
  <c r="I54" i="68"/>
  <c r="H54" i="68"/>
  <c r="F54" i="68"/>
  <c r="E54" i="68"/>
  <c r="D54" i="68"/>
  <c r="AI52" i="68"/>
  <c r="AI50" i="68"/>
  <c r="AI47" i="68" s="1"/>
  <c r="AI49" i="68"/>
  <c r="AP47" i="68"/>
  <c r="AO47" i="68"/>
  <c r="AR47" i="68" s="1"/>
  <c r="AN47" i="68"/>
  <c r="AL47" i="68"/>
  <c r="AJ47" i="68"/>
  <c r="AH47" i="68"/>
  <c r="AG47" i="68"/>
  <c r="AF47" i="68"/>
  <c r="AE47" i="68"/>
  <c r="AD47" i="68"/>
  <c r="AC47" i="68"/>
  <c r="AB47" i="68"/>
  <c r="AA47" i="68"/>
  <c r="Z47" i="68"/>
  <c r="Y47" i="68"/>
  <c r="X47" i="68"/>
  <c r="W47" i="68"/>
  <c r="V47" i="68"/>
  <c r="U47" i="68"/>
  <c r="T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AM98" i="68"/>
  <c r="AJ46" i="68"/>
  <c r="AJ98" i="68" s="1"/>
  <c r="AI46" i="68"/>
  <c r="AI98" i="68" s="1"/>
  <c r="AE46" i="68"/>
  <c r="AE98" i="68" s="1"/>
  <c r="AC46" i="68"/>
  <c r="AC98" i="68" s="1"/>
  <c r="AA46" i="68"/>
  <c r="AA98" i="68" s="1"/>
  <c r="AK45" i="68"/>
  <c r="AK97" i="68" s="1"/>
  <c r="AI45" i="68"/>
  <c r="AI97" i="68" s="1"/>
  <c r="AG45" i="68"/>
  <c r="AE45" i="68"/>
  <c r="X45" i="68"/>
  <c r="X97" i="68" s="1"/>
  <c r="W45" i="68"/>
  <c r="W97" i="68" s="1"/>
  <c r="V45" i="68"/>
  <c r="V97" i="68" s="1"/>
  <c r="U45" i="68"/>
  <c r="U97" i="68" s="1"/>
  <c r="T45" i="68"/>
  <c r="T97" i="68" s="1"/>
  <c r="S45" i="68"/>
  <c r="S97" i="68" s="1"/>
  <c r="R45" i="68"/>
  <c r="R97" i="68" s="1"/>
  <c r="Q45" i="68"/>
  <c r="Q97" i="68" s="1"/>
  <c r="P45" i="68"/>
  <c r="P97" i="68" s="1"/>
  <c r="O45" i="68"/>
  <c r="O97" i="68" s="1"/>
  <c r="N45" i="68"/>
  <c r="N97" i="68" s="1"/>
  <c r="M45" i="68"/>
  <c r="M97" i="68" s="1"/>
  <c r="L45" i="68"/>
  <c r="L97" i="68" s="1"/>
  <c r="K45" i="68"/>
  <c r="J45" i="68"/>
  <c r="J97" i="68" s="1"/>
  <c r="I45" i="68"/>
  <c r="I97" i="68" s="1"/>
  <c r="H45" i="68"/>
  <c r="H97" i="68" s="1"/>
  <c r="G45" i="68"/>
  <c r="G97" i="68" s="1"/>
  <c r="AJ44" i="68"/>
  <c r="AI44" i="68"/>
  <c r="AG44" i="68"/>
  <c r="AE44" i="68"/>
  <c r="AC44" i="68"/>
  <c r="AA44" i="68"/>
  <c r="AA96" i="68" s="1"/>
  <c r="AJ43" i="68"/>
  <c r="AJ95" i="68" s="1"/>
  <c r="AI43" i="68"/>
  <c r="AE43" i="68"/>
  <c r="AC43" i="68"/>
  <c r="AA43" i="68"/>
  <c r="AA95" i="68" s="1"/>
  <c r="AJ42" i="68"/>
  <c r="AJ94" i="68" s="1"/>
  <c r="AI42" i="68"/>
  <c r="AG42" i="68"/>
  <c r="AG40" i="68" s="1"/>
  <c r="AE42" i="68"/>
  <c r="AC42" i="68"/>
  <c r="AC40" i="68" s="1"/>
  <c r="AA42" i="68"/>
  <c r="AA94" i="68" s="1"/>
  <c r="X42" i="68"/>
  <c r="X94" i="68" s="1"/>
  <c r="W42" i="68"/>
  <c r="W94" i="68" s="1"/>
  <c r="V42" i="68"/>
  <c r="U42" i="68"/>
  <c r="U94" i="68" s="1"/>
  <c r="S42" i="68"/>
  <c r="S40" i="68" s="1"/>
  <c r="R42" i="68"/>
  <c r="R94" i="68" s="1"/>
  <c r="Q42" i="68"/>
  <c r="Q40" i="68" s="1"/>
  <c r="F42" i="68"/>
  <c r="F40" i="68" s="1"/>
  <c r="AP40" i="68"/>
  <c r="AO40" i="68"/>
  <c r="AL40" i="68"/>
  <c r="AK40" i="68"/>
  <c r="AK93" i="68" s="1"/>
  <c r="AK100" i="68" s="1"/>
  <c r="AH40" i="68"/>
  <c r="AF40" i="68"/>
  <c r="AD40" i="68"/>
  <c r="AB40" i="68"/>
  <c r="Z40" i="68"/>
  <c r="Y40" i="68"/>
  <c r="X40" i="68"/>
  <c r="V40" i="68"/>
  <c r="U40" i="68"/>
  <c r="T40" i="68"/>
  <c r="R40" i="68"/>
  <c r="P40" i="68"/>
  <c r="N40" i="68"/>
  <c r="M40" i="68"/>
  <c r="L40" i="68"/>
  <c r="K40" i="68"/>
  <c r="J40" i="68"/>
  <c r="I40" i="68"/>
  <c r="H40" i="68"/>
  <c r="E40" i="68"/>
  <c r="AI35" i="68"/>
  <c r="AI33" i="68" s="1"/>
  <c r="AG35" i="68"/>
  <c r="AG33" i="68" s="1"/>
  <c r="AE35" i="68"/>
  <c r="AC35" i="68"/>
  <c r="AC33" i="68" s="1"/>
  <c r="S35" i="68"/>
  <c r="S94" i="68" s="1"/>
  <c r="AP33" i="68"/>
  <c r="AO33" i="68"/>
  <c r="AR33" i="68" s="1"/>
  <c r="AN33" i="68"/>
  <c r="AL33" i="68"/>
  <c r="AL93" i="68" s="1"/>
  <c r="AL100" i="68" s="1"/>
  <c r="AJ33" i="68"/>
  <c r="AH33" i="68"/>
  <c r="AF33" i="68"/>
  <c r="AE33" i="68"/>
  <c r="AD33" i="68"/>
  <c r="AB33" i="68"/>
  <c r="AA33" i="68"/>
  <c r="Z33" i="68"/>
  <c r="Y33" i="68"/>
  <c r="X33" i="68"/>
  <c r="W33" i="68"/>
  <c r="V33" i="68"/>
  <c r="U33" i="68"/>
  <c r="T33" i="68"/>
  <c r="S33" i="68"/>
  <c r="R33" i="68"/>
  <c r="Q33" i="68"/>
  <c r="P33" i="68"/>
  <c r="O33" i="68"/>
  <c r="N33" i="68"/>
  <c r="M33" i="68"/>
  <c r="L33" i="68"/>
  <c r="K33" i="68"/>
  <c r="J33" i="68"/>
  <c r="I33" i="68"/>
  <c r="H33" i="68"/>
  <c r="G33" i="68"/>
  <c r="F33" i="68"/>
  <c r="E33" i="68"/>
  <c r="D33" i="68"/>
  <c r="C33" i="68"/>
  <c r="C93" i="68" s="1"/>
  <c r="C100" i="68" s="1"/>
  <c r="C103" i="68" s="1"/>
  <c r="AP27" i="68"/>
  <c r="AO27" i="68"/>
  <c r="AN27" i="68"/>
  <c r="AM27" i="68"/>
  <c r="AP21" i="68"/>
  <c r="AN21" i="68"/>
  <c r="AP15" i="68"/>
  <c r="AO15" i="68"/>
  <c r="AN15" i="68"/>
  <c r="AM15" i="68"/>
  <c r="F14" i="68"/>
  <c r="F98" i="68" s="1"/>
  <c r="AI12" i="68"/>
  <c r="AI96" i="68" s="1"/>
  <c r="AE12" i="68"/>
  <c r="AI11" i="68"/>
  <c r="AE11" i="68"/>
  <c r="AI10" i="68"/>
  <c r="AI94" i="68" s="1"/>
  <c r="AG10" i="68"/>
  <c r="AG8" i="68" s="1"/>
  <c r="AF10" i="68"/>
  <c r="AE10" i="68" s="1"/>
  <c r="O10" i="68"/>
  <c r="M10" i="68"/>
  <c r="M8" i="68" s="1"/>
  <c r="K10" i="68"/>
  <c r="K94" i="68" s="1"/>
  <c r="I10" i="68"/>
  <c r="G10" i="68"/>
  <c r="G94" i="68" s="1"/>
  <c r="AR8" i="68"/>
  <c r="AN8" i="68"/>
  <c r="AM8" i="68"/>
  <c r="AH8" i="68"/>
  <c r="AF8" i="68"/>
  <c r="AD8" i="68"/>
  <c r="AC8" i="68"/>
  <c r="AB8" i="68"/>
  <c r="AA8" i="68"/>
  <c r="Z8" i="68"/>
  <c r="Y8" i="68"/>
  <c r="X8" i="68"/>
  <c r="W8" i="68"/>
  <c r="V8" i="68"/>
  <c r="U8" i="68"/>
  <c r="T8" i="68"/>
  <c r="S8" i="68"/>
  <c r="R8" i="68"/>
  <c r="Q8" i="68"/>
  <c r="P8" i="68"/>
  <c r="N8" i="68"/>
  <c r="L8" i="68"/>
  <c r="J8" i="68"/>
  <c r="I8" i="68"/>
  <c r="I93" i="68" s="1"/>
  <c r="I100" i="68" s="1"/>
  <c r="H8" i="68"/>
  <c r="F8" i="68"/>
  <c r="E8" i="68"/>
  <c r="AO45" i="67"/>
  <c r="AO98" i="67"/>
  <c r="AP98" i="67"/>
  <c r="AN97" i="67"/>
  <c r="AO97" i="67"/>
  <c r="AP97" i="67"/>
  <c r="AO96" i="67"/>
  <c r="AP96" i="67"/>
  <c r="AO95" i="67"/>
  <c r="AP95" i="67"/>
  <c r="AO94" i="67"/>
  <c r="AP94" i="67"/>
  <c r="AM65" i="67"/>
  <c r="AM64" i="67"/>
  <c r="AM63" i="67"/>
  <c r="AM22" i="67"/>
  <c r="AM21" i="67" s="1"/>
  <c r="AM16" i="67"/>
  <c r="AN27" i="67"/>
  <c r="AO27" i="67"/>
  <c r="AP27" i="67"/>
  <c r="AM27" i="67"/>
  <c r="AN58" i="67"/>
  <c r="AN96" i="67" s="1"/>
  <c r="AN57" i="67"/>
  <c r="AN56" i="67"/>
  <c r="AM58" i="67"/>
  <c r="AM57" i="67"/>
  <c r="AM56" i="67"/>
  <c r="AN46" i="67"/>
  <c r="AN98" i="67" s="1"/>
  <c r="AN43" i="67"/>
  <c r="AN95" i="67" s="1"/>
  <c r="AN42" i="67"/>
  <c r="AN94" i="67" s="1"/>
  <c r="AM42" i="67"/>
  <c r="AM46" i="67"/>
  <c r="AM98" i="67" s="1"/>
  <c r="AM45" i="67"/>
  <c r="AM97" i="67" s="1"/>
  <c r="AM44" i="67"/>
  <c r="AM43" i="67"/>
  <c r="AM36" i="67"/>
  <c r="AM35" i="67"/>
  <c r="AM94" i="67" s="1"/>
  <c r="AM85" i="67"/>
  <c r="AM82" i="67" s="1"/>
  <c r="AM52" i="67"/>
  <c r="AM50" i="67"/>
  <c r="AM47" i="67" s="1"/>
  <c r="AM49" i="67"/>
  <c r="AN21" i="67"/>
  <c r="AO21" i="67"/>
  <c r="AP21" i="67"/>
  <c r="AO15" i="67"/>
  <c r="AP15" i="67"/>
  <c r="AN15" i="67"/>
  <c r="AM15" i="67"/>
  <c r="AL98" i="67"/>
  <c r="AK98" i="67"/>
  <c r="AH98" i="67"/>
  <c r="AG98" i="67"/>
  <c r="AF98" i="67"/>
  <c r="AD98" i="67"/>
  <c r="AB98" i="67"/>
  <c r="Z98" i="67"/>
  <c r="Y98" i="67"/>
  <c r="X98" i="67"/>
  <c r="W98" i="67"/>
  <c r="V98" i="67"/>
  <c r="U98" i="67"/>
  <c r="T98" i="67"/>
  <c r="S98" i="67"/>
  <c r="R98" i="67"/>
  <c r="Q98" i="67"/>
  <c r="P98" i="67"/>
  <c r="O98" i="67"/>
  <c r="N98" i="67"/>
  <c r="M98" i="67"/>
  <c r="L98" i="67"/>
  <c r="K98" i="67"/>
  <c r="J98" i="67"/>
  <c r="H98" i="67"/>
  <c r="E98" i="67"/>
  <c r="D98" i="67"/>
  <c r="C98" i="67"/>
  <c r="AL97" i="67"/>
  <c r="AJ97" i="67"/>
  <c r="AH97" i="67"/>
  <c r="AF97" i="67"/>
  <c r="AD97" i="67"/>
  <c r="AB97" i="67"/>
  <c r="Z97" i="67"/>
  <c r="Y97" i="67"/>
  <c r="F97" i="67"/>
  <c r="E97" i="67"/>
  <c r="D97" i="67"/>
  <c r="C97" i="67"/>
  <c r="AL96" i="67"/>
  <c r="AK96" i="67"/>
  <c r="AB96" i="67"/>
  <c r="Z96" i="67"/>
  <c r="Y96" i="67"/>
  <c r="X96" i="67"/>
  <c r="V96" i="67"/>
  <c r="T96" i="67"/>
  <c r="R96" i="67"/>
  <c r="P96" i="67"/>
  <c r="N96" i="67"/>
  <c r="M96" i="67"/>
  <c r="L96" i="67"/>
  <c r="J96" i="67"/>
  <c r="H96" i="67"/>
  <c r="F96" i="67"/>
  <c r="E96" i="67"/>
  <c r="D96" i="67"/>
  <c r="C96" i="67"/>
  <c r="AL95" i="67"/>
  <c r="AK95" i="67"/>
  <c r="AH95" i="67"/>
  <c r="AG95" i="67"/>
  <c r="AD95" i="67"/>
  <c r="AB95" i="67"/>
  <c r="Z95" i="67"/>
  <c r="Y95" i="67"/>
  <c r="X95" i="67"/>
  <c r="V95" i="67"/>
  <c r="T95" i="67"/>
  <c r="R95" i="67"/>
  <c r="P95" i="67"/>
  <c r="N95" i="67"/>
  <c r="M95" i="67"/>
  <c r="L95" i="67"/>
  <c r="J95" i="67"/>
  <c r="H95" i="67"/>
  <c r="F95" i="67"/>
  <c r="E95" i="67"/>
  <c r="D95" i="67"/>
  <c r="C95" i="67"/>
  <c r="AL94" i="67"/>
  <c r="AK94" i="67"/>
  <c r="AH94" i="67"/>
  <c r="Y94" i="67"/>
  <c r="E94" i="67"/>
  <c r="D94" i="67"/>
  <c r="C94" i="67"/>
  <c r="D91" i="67"/>
  <c r="C91" i="67"/>
  <c r="Z89" i="67"/>
  <c r="Y89" i="67"/>
  <c r="X89" i="67"/>
  <c r="W89" i="67"/>
  <c r="V89" i="67"/>
  <c r="U89" i="67"/>
  <c r="T89" i="67"/>
  <c r="S89" i="67"/>
  <c r="R89" i="67"/>
  <c r="Q89" i="67"/>
  <c r="P89" i="67"/>
  <c r="O89" i="67"/>
  <c r="N89" i="67"/>
  <c r="M89" i="67"/>
  <c r="L89" i="67"/>
  <c r="K89" i="67"/>
  <c r="J89" i="67"/>
  <c r="I89" i="67"/>
  <c r="H89" i="67"/>
  <c r="G89" i="67"/>
  <c r="F89" i="67"/>
  <c r="E89" i="67"/>
  <c r="AP82" i="67"/>
  <c r="AO82" i="67"/>
  <c r="AR82" i="67" s="1"/>
  <c r="AN82" i="67"/>
  <c r="AL82" i="67"/>
  <c r="AJ82" i="67"/>
  <c r="AI82" i="67"/>
  <c r="AH82" i="67"/>
  <c r="AG82" i="67"/>
  <c r="AF82" i="67"/>
  <c r="AE82" i="67"/>
  <c r="AD82" i="67"/>
  <c r="AC82" i="67"/>
  <c r="AB82" i="67"/>
  <c r="AA82" i="67"/>
  <c r="Z82" i="67"/>
  <c r="Y82" i="67"/>
  <c r="X82" i="67"/>
  <c r="W82" i="67"/>
  <c r="V82" i="67"/>
  <c r="U82" i="67"/>
  <c r="T82" i="67"/>
  <c r="S82" i="67"/>
  <c r="R82" i="67"/>
  <c r="Q82" i="67"/>
  <c r="P82" i="67"/>
  <c r="O82" i="67"/>
  <c r="N82" i="67"/>
  <c r="M82" i="67"/>
  <c r="L82" i="67"/>
  <c r="K82" i="67"/>
  <c r="J82" i="67"/>
  <c r="I82" i="67"/>
  <c r="H82" i="67"/>
  <c r="G82" i="67"/>
  <c r="F82" i="67"/>
  <c r="E82" i="67"/>
  <c r="D82" i="67"/>
  <c r="I81" i="67"/>
  <c r="I98" i="67" s="1"/>
  <c r="G81" i="67"/>
  <c r="G98" i="67" s="1"/>
  <c r="AA80" i="67"/>
  <c r="AC79" i="67"/>
  <c r="AE78" i="67"/>
  <c r="AE75" i="67" s="1"/>
  <c r="AC78" i="67"/>
  <c r="AA78" i="67"/>
  <c r="AD77" i="67"/>
  <c r="AC77" i="67"/>
  <c r="AC75" i="67" s="1"/>
  <c r="AB77" i="67"/>
  <c r="AB94" i="67" s="1"/>
  <c r="AA77" i="67"/>
  <c r="AA75" i="67" s="1"/>
  <c r="X77" i="67"/>
  <c r="W77" i="67"/>
  <c r="W75" i="67" s="1"/>
  <c r="V77" i="67"/>
  <c r="U77" i="67"/>
  <c r="U75" i="67" s="1"/>
  <c r="T77" i="67"/>
  <c r="T94" i="67" s="1"/>
  <c r="S77" i="67"/>
  <c r="S75" i="67" s="1"/>
  <c r="P77" i="67"/>
  <c r="O77" i="67"/>
  <c r="O75" i="67" s="1"/>
  <c r="L77" i="67"/>
  <c r="L94" i="67" s="1"/>
  <c r="K77" i="67"/>
  <c r="K75" i="67" s="1"/>
  <c r="J77" i="67"/>
  <c r="J94" i="67" s="1"/>
  <c r="I77" i="67"/>
  <c r="H77" i="67"/>
  <c r="H75" i="67" s="1"/>
  <c r="G77" i="67"/>
  <c r="F77" i="67"/>
  <c r="AP75" i="67"/>
  <c r="AO75" i="67"/>
  <c r="AR75" i="67" s="1"/>
  <c r="AN75" i="67"/>
  <c r="AM75" i="67"/>
  <c r="AQ75" i="67" s="1"/>
  <c r="AI75" i="67"/>
  <c r="AH75" i="67"/>
  <c r="AG75" i="67"/>
  <c r="AF75" i="67"/>
  <c r="AB75" i="67"/>
  <c r="Z75" i="67"/>
  <c r="Y75" i="67"/>
  <c r="X75" i="67"/>
  <c r="V75" i="67"/>
  <c r="T75" i="67"/>
  <c r="R75" i="67"/>
  <c r="Q75" i="67"/>
  <c r="P75" i="67"/>
  <c r="N75" i="67"/>
  <c r="M75" i="67"/>
  <c r="L75" i="67"/>
  <c r="J75" i="67"/>
  <c r="I75" i="67"/>
  <c r="G75" i="67"/>
  <c r="F75" i="67"/>
  <c r="E75" i="67"/>
  <c r="D75" i="67"/>
  <c r="Z68" i="67"/>
  <c r="Y68" i="67"/>
  <c r="X68" i="67"/>
  <c r="W68" i="67"/>
  <c r="V68" i="67"/>
  <c r="U68" i="67"/>
  <c r="T68" i="67"/>
  <c r="S68" i="67"/>
  <c r="R68" i="67"/>
  <c r="Q68" i="67"/>
  <c r="P68" i="67"/>
  <c r="O68" i="67"/>
  <c r="N68" i="67"/>
  <c r="M68" i="67"/>
  <c r="L68" i="67"/>
  <c r="K68" i="67"/>
  <c r="J68" i="67"/>
  <c r="I68" i="67"/>
  <c r="H68" i="67"/>
  <c r="G68" i="67"/>
  <c r="F68" i="67"/>
  <c r="E68" i="67"/>
  <c r="D68" i="67"/>
  <c r="AG66" i="67"/>
  <c r="AE66" i="67"/>
  <c r="AC66" i="67"/>
  <c r="AC97" i="67" s="1"/>
  <c r="AA66" i="67"/>
  <c r="W66" i="67"/>
  <c r="Q66" i="67"/>
  <c r="Q61" i="67" s="1"/>
  <c r="P66" i="67"/>
  <c r="O66" i="67"/>
  <c r="O61" i="67" s="1"/>
  <c r="L66" i="67"/>
  <c r="K66" i="67"/>
  <c r="J66" i="67"/>
  <c r="I66" i="67"/>
  <c r="I61" i="67" s="1"/>
  <c r="H66" i="67"/>
  <c r="G66" i="67"/>
  <c r="AI65" i="67"/>
  <c r="AG65" i="67"/>
  <c r="AG61" i="67" s="1"/>
  <c r="AE65" i="67"/>
  <c r="AC65" i="67"/>
  <c r="AA65" i="67"/>
  <c r="AI64" i="67"/>
  <c r="AE64" i="67"/>
  <c r="AC64" i="67"/>
  <c r="AA64" i="67"/>
  <c r="AI63" i="67"/>
  <c r="AE63" i="67"/>
  <c r="AC63" i="67"/>
  <c r="AA63" i="67"/>
  <c r="Z63" i="67"/>
  <c r="Z94" i="67" s="1"/>
  <c r="W63" i="67"/>
  <c r="U63" i="67"/>
  <c r="U61" i="67" s="1"/>
  <c r="S63" i="67"/>
  <c r="P63" i="67"/>
  <c r="P61" i="67" s="1"/>
  <c r="O63" i="67"/>
  <c r="N63" i="67"/>
  <c r="N94" i="67" s="1"/>
  <c r="M63" i="67"/>
  <c r="M61" i="67" s="1"/>
  <c r="K63" i="67"/>
  <c r="K61" i="67" s="1"/>
  <c r="I63" i="67"/>
  <c r="H63" i="67"/>
  <c r="G63" i="67"/>
  <c r="AP61" i="67"/>
  <c r="AO61" i="67"/>
  <c r="AN61" i="67"/>
  <c r="AK61" i="67"/>
  <c r="AI61" i="67"/>
  <c r="AH61" i="67"/>
  <c r="AF61" i="67"/>
  <c r="AE61" i="67"/>
  <c r="AD61" i="67"/>
  <c r="AB61" i="67"/>
  <c r="Y61" i="67"/>
  <c r="X61" i="67"/>
  <c r="W61" i="67"/>
  <c r="V61" i="67"/>
  <c r="T61" i="67"/>
  <c r="S61" i="67"/>
  <c r="R61" i="67"/>
  <c r="L61" i="67"/>
  <c r="J61" i="67"/>
  <c r="G61" i="67"/>
  <c r="F61" i="67"/>
  <c r="E61" i="67"/>
  <c r="AI60" i="67"/>
  <c r="AE60" i="67"/>
  <c r="AC60" i="67"/>
  <c r="AI59" i="67"/>
  <c r="AE59" i="67"/>
  <c r="W59" i="67"/>
  <c r="O59" i="67"/>
  <c r="AJ58" i="67"/>
  <c r="AI58" i="67"/>
  <c r="AH58" i="67"/>
  <c r="AH96" i="67" s="1"/>
  <c r="AF58" i="67"/>
  <c r="AF96" i="67" s="1"/>
  <c r="AD58" i="67"/>
  <c r="AD96" i="67" s="1"/>
  <c r="AC58" i="67"/>
  <c r="AA58" i="67"/>
  <c r="W58" i="67"/>
  <c r="W96" i="67" s="1"/>
  <c r="U58" i="67"/>
  <c r="U96" i="67" s="1"/>
  <c r="S58" i="67"/>
  <c r="S96" i="67" s="1"/>
  <c r="Q58" i="67"/>
  <c r="Q96" i="67" s="1"/>
  <c r="O58" i="67"/>
  <c r="O96" i="67" s="1"/>
  <c r="K58" i="67"/>
  <c r="K96" i="67" s="1"/>
  <c r="I58" i="67"/>
  <c r="I96" i="67" s="1"/>
  <c r="G58" i="67"/>
  <c r="G96" i="67" s="1"/>
  <c r="AJ57" i="67"/>
  <c r="AI57" i="67"/>
  <c r="AF57" i="67"/>
  <c r="AF95" i="67" s="1"/>
  <c r="AE57" i="67"/>
  <c r="AC57" i="67"/>
  <c r="AA57" i="67"/>
  <c r="W57" i="67"/>
  <c r="W95" i="67" s="1"/>
  <c r="U57" i="67"/>
  <c r="U95" i="67" s="1"/>
  <c r="S57" i="67"/>
  <c r="S95" i="67" s="1"/>
  <c r="Q57" i="67"/>
  <c r="O57" i="67"/>
  <c r="O95" i="67" s="1"/>
  <c r="K57" i="67"/>
  <c r="K95" i="67" s="1"/>
  <c r="I57" i="67"/>
  <c r="I95" i="67" s="1"/>
  <c r="G57" i="67"/>
  <c r="G95" i="67" s="1"/>
  <c r="AJ56" i="67"/>
  <c r="AI56" i="67"/>
  <c r="AI54" i="67" s="1"/>
  <c r="AF56" i="67"/>
  <c r="AE56" i="67"/>
  <c r="AC56" i="67"/>
  <c r="AA56" i="67"/>
  <c r="AA54" i="67" s="1"/>
  <c r="W56" i="67"/>
  <c r="V56" i="67"/>
  <c r="U56" i="67"/>
  <c r="S56" i="67"/>
  <c r="S54" i="67" s="1"/>
  <c r="Q56" i="67"/>
  <c r="O56" i="67"/>
  <c r="M56" i="67"/>
  <c r="M54" i="67" s="1"/>
  <c r="K56" i="67"/>
  <c r="K54" i="67" s="1"/>
  <c r="I56" i="67"/>
  <c r="G56" i="67"/>
  <c r="AP54" i="67"/>
  <c r="AO54" i="67"/>
  <c r="AR54" i="67" s="1"/>
  <c r="AG54" i="67"/>
  <c r="AB54" i="67"/>
  <c r="Z54" i="67"/>
  <c r="Y54" i="67"/>
  <c r="X54" i="67"/>
  <c r="V54" i="67"/>
  <c r="T54" i="67"/>
  <c r="R54" i="67"/>
  <c r="P54" i="67"/>
  <c r="N54" i="67"/>
  <c r="L54" i="67"/>
  <c r="J54" i="67"/>
  <c r="H54" i="67"/>
  <c r="F54" i="67"/>
  <c r="E54" i="67"/>
  <c r="D54" i="67"/>
  <c r="AI52" i="67"/>
  <c r="AI50" i="67"/>
  <c r="AI49" i="67"/>
  <c r="AP47" i="67"/>
  <c r="AO47" i="67"/>
  <c r="AR47" i="67" s="1"/>
  <c r="AN47" i="67"/>
  <c r="AL47" i="67"/>
  <c r="AJ47" i="67"/>
  <c r="AH47" i="67"/>
  <c r="AG47" i="67"/>
  <c r="AF47" i="67"/>
  <c r="AE47" i="67"/>
  <c r="AD47" i="67"/>
  <c r="AC47" i="67"/>
  <c r="AB47" i="67"/>
  <c r="AA47" i="67"/>
  <c r="Z47" i="67"/>
  <c r="Y47" i="67"/>
  <c r="X47" i="67"/>
  <c r="W47" i="67"/>
  <c r="V47" i="67"/>
  <c r="U47" i="67"/>
  <c r="T47" i="67"/>
  <c r="S47" i="67"/>
  <c r="R47" i="67"/>
  <c r="Q47" i="67"/>
  <c r="P47" i="67"/>
  <c r="O47" i="67"/>
  <c r="N47" i="67"/>
  <c r="M47" i="67"/>
  <c r="L47" i="67"/>
  <c r="K47" i="67"/>
  <c r="J47" i="67"/>
  <c r="I47" i="67"/>
  <c r="H47" i="67"/>
  <c r="G47" i="67"/>
  <c r="F47" i="67"/>
  <c r="E47" i="67"/>
  <c r="D47" i="67"/>
  <c r="AJ46" i="67"/>
  <c r="AJ98" i="67" s="1"/>
  <c r="AI46" i="67"/>
  <c r="AI98" i="67" s="1"/>
  <c r="AE46" i="67"/>
  <c r="AE98" i="67" s="1"/>
  <c r="AC46" i="67"/>
  <c r="AC98" i="67" s="1"/>
  <c r="AA46" i="67"/>
  <c r="AO40" i="67"/>
  <c r="AK45" i="67"/>
  <c r="AK97" i="67" s="1"/>
  <c r="AI45" i="67"/>
  <c r="AG45" i="67"/>
  <c r="AG97" i="67" s="1"/>
  <c r="AE45" i="67"/>
  <c r="X45" i="67"/>
  <c r="X97" i="67" s="1"/>
  <c r="W45" i="67"/>
  <c r="V45" i="67"/>
  <c r="U45" i="67"/>
  <c r="T45" i="67"/>
  <c r="T97" i="67" s="1"/>
  <c r="S45" i="67"/>
  <c r="S97" i="67" s="1"/>
  <c r="R45" i="67"/>
  <c r="R97" i="67" s="1"/>
  <c r="Q45" i="67"/>
  <c r="P45" i="67"/>
  <c r="P97" i="67" s="1"/>
  <c r="O45" i="67"/>
  <c r="N45" i="67"/>
  <c r="N97" i="67" s="1"/>
  <c r="M45" i="67"/>
  <c r="M40" i="67" s="1"/>
  <c r="L45" i="67"/>
  <c r="L97" i="67" s="1"/>
  <c r="K45" i="67"/>
  <c r="K40" i="67" s="1"/>
  <c r="J45" i="67"/>
  <c r="J40" i="67" s="1"/>
  <c r="I45" i="67"/>
  <c r="I40" i="67" s="1"/>
  <c r="H45" i="67"/>
  <c r="H97" i="67" s="1"/>
  <c r="G45" i="67"/>
  <c r="AJ44" i="67"/>
  <c r="AJ96" i="67" s="1"/>
  <c r="AI44" i="67"/>
  <c r="AG44" i="67"/>
  <c r="AG96" i="67" s="1"/>
  <c r="AE44" i="67"/>
  <c r="AC44" i="67"/>
  <c r="AA44" i="67"/>
  <c r="AJ43" i="67"/>
  <c r="AJ95" i="67" s="1"/>
  <c r="AI43" i="67"/>
  <c r="AE43" i="67"/>
  <c r="AC43" i="67"/>
  <c r="AC95" i="67" s="1"/>
  <c r="AA43" i="67"/>
  <c r="AJ42" i="67"/>
  <c r="AJ40" i="67" s="1"/>
  <c r="AI42" i="67"/>
  <c r="AG42" i="67"/>
  <c r="AE42" i="67"/>
  <c r="AC42" i="67"/>
  <c r="AC94" i="67" s="1"/>
  <c r="AA42" i="67"/>
  <c r="X42" i="67"/>
  <c r="X94" i="67" s="1"/>
  <c r="W42" i="67"/>
  <c r="W40" i="67" s="1"/>
  <c r="V42" i="67"/>
  <c r="V94" i="67" s="1"/>
  <c r="U42" i="67"/>
  <c r="S42" i="67"/>
  <c r="R42" i="67"/>
  <c r="Q42" i="67"/>
  <c r="Q40" i="67" s="1"/>
  <c r="F42" i="67"/>
  <c r="F94" i="67" s="1"/>
  <c r="AP40" i="67"/>
  <c r="AL40" i="67"/>
  <c r="AK40" i="67"/>
  <c r="AH40" i="67"/>
  <c r="AF40" i="67"/>
  <c r="AD40" i="67"/>
  <c r="AB40" i="67"/>
  <c r="Z40" i="67"/>
  <c r="Y40" i="67"/>
  <c r="X40" i="67"/>
  <c r="T40" i="67"/>
  <c r="O40" i="67"/>
  <c r="G40" i="67"/>
  <c r="F40" i="67"/>
  <c r="E40" i="67"/>
  <c r="AI35" i="67"/>
  <c r="AI33" i="67" s="1"/>
  <c r="AG35" i="67"/>
  <c r="AG33" i="67" s="1"/>
  <c r="AE35" i="67"/>
  <c r="AC35" i="67"/>
  <c r="AC33" i="67" s="1"/>
  <c r="S35" i="67"/>
  <c r="AP33" i="67"/>
  <c r="AO33" i="67"/>
  <c r="AN33" i="67"/>
  <c r="AL33" i="67"/>
  <c r="AJ33" i="67"/>
  <c r="AH33" i="67"/>
  <c r="AF33" i="67"/>
  <c r="AE33" i="67"/>
  <c r="AD33" i="67"/>
  <c r="AB33" i="67"/>
  <c r="AA33" i="67"/>
  <c r="Z33" i="67"/>
  <c r="Y33" i="67"/>
  <c r="X33" i="67"/>
  <c r="W33" i="67"/>
  <c r="V33" i="67"/>
  <c r="U33" i="67"/>
  <c r="T33" i="67"/>
  <c r="R33" i="67"/>
  <c r="Q33" i="67"/>
  <c r="P33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F14" i="67"/>
  <c r="AI12" i="67"/>
  <c r="AI96" i="67" s="1"/>
  <c r="AE12" i="67"/>
  <c r="AI11" i="67"/>
  <c r="AE11" i="67"/>
  <c r="AI10" i="67"/>
  <c r="AG10" i="67"/>
  <c r="AF10" i="67"/>
  <c r="AE10" i="67" s="1"/>
  <c r="O10" i="67"/>
  <c r="M10" i="67"/>
  <c r="K10" i="67"/>
  <c r="I10" i="67"/>
  <c r="G10" i="67"/>
  <c r="AN8" i="67"/>
  <c r="AM8" i="67"/>
  <c r="AH8" i="67"/>
  <c r="AF8" i="67"/>
  <c r="AD8" i="67"/>
  <c r="AC8" i="67"/>
  <c r="AB8" i="67"/>
  <c r="AA8" i="67"/>
  <c r="Z8" i="67"/>
  <c r="Y8" i="67"/>
  <c r="X8" i="67"/>
  <c r="W8" i="67"/>
  <c r="V8" i="67"/>
  <c r="U8" i="67"/>
  <c r="T8" i="67"/>
  <c r="S8" i="67"/>
  <c r="R8" i="67"/>
  <c r="Q8" i="67"/>
  <c r="P8" i="67"/>
  <c r="N8" i="67"/>
  <c r="M8" i="67"/>
  <c r="L8" i="67"/>
  <c r="J8" i="67"/>
  <c r="I8" i="67"/>
  <c r="H8" i="67"/>
  <c r="E8" i="67"/>
  <c r="AO27" i="66"/>
  <c r="AN28" i="66"/>
  <c r="AN80" i="66" s="1"/>
  <c r="AN26" i="66"/>
  <c r="AN25" i="66"/>
  <c r="AN24" i="66"/>
  <c r="AM28" i="66"/>
  <c r="AM27" i="66"/>
  <c r="AM26" i="66"/>
  <c r="AM25" i="66"/>
  <c r="AM24" i="66"/>
  <c r="AO10" i="66"/>
  <c r="AO8" i="66" s="1"/>
  <c r="AN10" i="66"/>
  <c r="AM13" i="66"/>
  <c r="AM11" i="66"/>
  <c r="AM10" i="66"/>
  <c r="AM47" i="66"/>
  <c r="AM46" i="66"/>
  <c r="AM45" i="66"/>
  <c r="AN40" i="66"/>
  <c r="AN78" i="66" s="1"/>
  <c r="AN39" i="66"/>
  <c r="AN77" i="66" s="1"/>
  <c r="AN38" i="66"/>
  <c r="AM42" i="66"/>
  <c r="AM41" i="66"/>
  <c r="AM40" i="66"/>
  <c r="AM39" i="66"/>
  <c r="AM38" i="66"/>
  <c r="AM34" i="66"/>
  <c r="AM32" i="66"/>
  <c r="AM31" i="66"/>
  <c r="AM17" i="66"/>
  <c r="AM15" i="66" s="1"/>
  <c r="AP80" i="66"/>
  <c r="AO80" i="66"/>
  <c r="AM80" i="66"/>
  <c r="AL80" i="66"/>
  <c r="AK80" i="66"/>
  <c r="AH80" i="66"/>
  <c r="AG80" i="66"/>
  <c r="AF80" i="66"/>
  <c r="AD80" i="66"/>
  <c r="AB80" i="66"/>
  <c r="Z80" i="66"/>
  <c r="Y80" i="66"/>
  <c r="X80" i="66"/>
  <c r="W80" i="66"/>
  <c r="V80" i="66"/>
  <c r="U80" i="66"/>
  <c r="T80" i="66"/>
  <c r="S80" i="66"/>
  <c r="R80" i="66"/>
  <c r="Q80" i="66"/>
  <c r="P80" i="66"/>
  <c r="O80" i="66"/>
  <c r="N80" i="66"/>
  <c r="M80" i="66"/>
  <c r="L80" i="66"/>
  <c r="K80" i="66"/>
  <c r="J80" i="66"/>
  <c r="I80" i="66"/>
  <c r="H80" i="66"/>
  <c r="E80" i="66"/>
  <c r="D80" i="66"/>
  <c r="C80" i="66"/>
  <c r="AP79" i="66"/>
  <c r="AO79" i="66"/>
  <c r="AN79" i="66"/>
  <c r="AL79" i="66"/>
  <c r="AJ79" i="66"/>
  <c r="AH79" i="66"/>
  <c r="AF79" i="66"/>
  <c r="AD79" i="66"/>
  <c r="AB79" i="66"/>
  <c r="Z79" i="66"/>
  <c r="Y79" i="66"/>
  <c r="F79" i="66"/>
  <c r="E79" i="66"/>
  <c r="D79" i="66"/>
  <c r="C79" i="66"/>
  <c r="AP78" i="66"/>
  <c r="AO78" i="66"/>
  <c r="AL78" i="66"/>
  <c r="AK78" i="66"/>
  <c r="AB78" i="66"/>
  <c r="Z78" i="66"/>
  <c r="Y78" i="66"/>
  <c r="X78" i="66"/>
  <c r="V78" i="66"/>
  <c r="T78" i="66"/>
  <c r="R78" i="66"/>
  <c r="P78" i="66"/>
  <c r="N78" i="66"/>
  <c r="M78" i="66"/>
  <c r="L78" i="66"/>
  <c r="J78" i="66"/>
  <c r="H78" i="66"/>
  <c r="F78" i="66"/>
  <c r="E78" i="66"/>
  <c r="D78" i="66"/>
  <c r="C78" i="66"/>
  <c r="AP77" i="66"/>
  <c r="AO77" i="66"/>
  <c r="AL77" i="66"/>
  <c r="AK77" i="66"/>
  <c r="AH77" i="66"/>
  <c r="AG77" i="66"/>
  <c r="AD77" i="66"/>
  <c r="AB77" i="66"/>
  <c r="Z77" i="66"/>
  <c r="Y77" i="66"/>
  <c r="X77" i="66"/>
  <c r="V77" i="66"/>
  <c r="T77" i="66"/>
  <c r="R77" i="66"/>
  <c r="P77" i="66"/>
  <c r="N77" i="66"/>
  <c r="M77" i="66"/>
  <c r="L77" i="66"/>
  <c r="J77" i="66"/>
  <c r="H77" i="66"/>
  <c r="F77" i="66"/>
  <c r="E77" i="66"/>
  <c r="D77" i="66"/>
  <c r="C77" i="66"/>
  <c r="AP76" i="66"/>
  <c r="AL76" i="66"/>
  <c r="AK76" i="66"/>
  <c r="AH76" i="66"/>
  <c r="Y76" i="66"/>
  <c r="E76" i="66"/>
  <c r="D76" i="66"/>
  <c r="C76" i="66"/>
  <c r="D73" i="66"/>
  <c r="C73" i="66"/>
  <c r="Z71" i="66"/>
  <c r="Y71" i="66"/>
  <c r="X71" i="66"/>
  <c r="W71" i="66"/>
  <c r="V71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I71" i="66"/>
  <c r="H71" i="66"/>
  <c r="G71" i="66"/>
  <c r="F71" i="66"/>
  <c r="E71" i="66"/>
  <c r="AP64" i="66"/>
  <c r="AO64" i="66"/>
  <c r="AR64" i="66" s="1"/>
  <c r="AN64" i="66"/>
  <c r="AM64" i="66"/>
  <c r="AQ64" i="66" s="1"/>
  <c r="AL64" i="66"/>
  <c r="AJ64" i="66"/>
  <c r="AI64" i="66"/>
  <c r="AH64" i="66"/>
  <c r="AG64" i="66"/>
  <c r="AF64" i="66"/>
  <c r="AE64" i="66"/>
  <c r="AD64" i="66"/>
  <c r="AC64" i="66"/>
  <c r="AB64" i="66"/>
  <c r="AA64" i="66"/>
  <c r="Z64" i="66"/>
  <c r="Y64" i="66"/>
  <c r="X64" i="66"/>
  <c r="W64" i="66"/>
  <c r="V64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E64" i="66"/>
  <c r="D64" i="66"/>
  <c r="I63" i="66"/>
  <c r="G63" i="66"/>
  <c r="G80" i="66" s="1"/>
  <c r="AA62" i="66"/>
  <c r="AC61" i="66"/>
  <c r="AE60" i="66"/>
  <c r="AC60" i="66"/>
  <c r="AA60" i="66"/>
  <c r="AD59" i="66"/>
  <c r="AD57" i="66" s="1"/>
  <c r="AC59" i="66"/>
  <c r="AB59" i="66"/>
  <c r="AB76" i="66" s="1"/>
  <c r="AA59" i="66"/>
  <c r="AA57" i="66" s="1"/>
  <c r="X59" i="66"/>
  <c r="W59" i="66"/>
  <c r="V59" i="66"/>
  <c r="U59" i="66"/>
  <c r="T59" i="66"/>
  <c r="T76" i="66" s="1"/>
  <c r="S59" i="66"/>
  <c r="P59" i="66"/>
  <c r="O59" i="66"/>
  <c r="O57" i="66" s="1"/>
  <c r="L59" i="66"/>
  <c r="L76" i="66" s="1"/>
  <c r="K59" i="66"/>
  <c r="J59" i="66"/>
  <c r="J76" i="66" s="1"/>
  <c r="I59" i="66"/>
  <c r="H59" i="66"/>
  <c r="G59" i="66"/>
  <c r="F59" i="66"/>
  <c r="F57" i="66" s="1"/>
  <c r="AP57" i="66"/>
  <c r="AO57" i="66"/>
  <c r="AR57" i="66" s="1"/>
  <c r="AN57" i="66"/>
  <c r="AM57" i="66"/>
  <c r="AI57" i="66"/>
  <c r="AH57" i="66"/>
  <c r="AG57" i="66"/>
  <c r="AF57" i="66"/>
  <c r="AE57" i="66"/>
  <c r="AB57" i="66"/>
  <c r="Z57" i="66"/>
  <c r="Y57" i="66"/>
  <c r="X57" i="66"/>
  <c r="W57" i="66"/>
  <c r="V57" i="66"/>
  <c r="U57" i="66"/>
  <c r="T57" i="66"/>
  <c r="S57" i="66"/>
  <c r="R57" i="66"/>
  <c r="Q57" i="66"/>
  <c r="P57" i="66"/>
  <c r="N57" i="66"/>
  <c r="M57" i="66"/>
  <c r="L57" i="66"/>
  <c r="K57" i="66"/>
  <c r="J57" i="66"/>
  <c r="G57" i="66"/>
  <c r="E57" i="66"/>
  <c r="D57" i="66"/>
  <c r="Z50" i="66"/>
  <c r="Y50" i="66"/>
  <c r="X50" i="66"/>
  <c r="W50" i="66"/>
  <c r="V50" i="66"/>
  <c r="U50" i="66"/>
  <c r="T50" i="66"/>
  <c r="S50" i="66"/>
  <c r="R50" i="66"/>
  <c r="Q50" i="66"/>
  <c r="P50" i="66"/>
  <c r="O50" i="66"/>
  <c r="N50" i="66"/>
  <c r="M50" i="66"/>
  <c r="L50" i="66"/>
  <c r="K50" i="66"/>
  <c r="J50" i="66"/>
  <c r="I50" i="66"/>
  <c r="H50" i="66"/>
  <c r="G50" i="66"/>
  <c r="F50" i="66"/>
  <c r="E50" i="66"/>
  <c r="D50" i="66"/>
  <c r="AG48" i="66"/>
  <c r="AE48" i="66"/>
  <c r="AC48" i="66"/>
  <c r="AC79" i="66" s="1"/>
  <c r="AA48" i="66"/>
  <c r="W48" i="66"/>
  <c r="Q48" i="66"/>
  <c r="P48" i="66"/>
  <c r="O48" i="66"/>
  <c r="L48" i="66"/>
  <c r="K48" i="66"/>
  <c r="J48" i="66"/>
  <c r="J43" i="66" s="1"/>
  <c r="I48" i="66"/>
  <c r="I43" i="66" s="1"/>
  <c r="H48" i="66"/>
  <c r="G48" i="66"/>
  <c r="G43" i="66" s="1"/>
  <c r="AI47" i="66"/>
  <c r="AG47" i="66"/>
  <c r="AE47" i="66"/>
  <c r="AC47" i="66"/>
  <c r="AA47" i="66"/>
  <c r="AI46" i="66"/>
  <c r="AE46" i="66"/>
  <c r="AC46" i="66"/>
  <c r="AA46" i="66"/>
  <c r="AI45" i="66"/>
  <c r="AE45" i="66"/>
  <c r="AC45" i="66"/>
  <c r="AA45" i="66"/>
  <c r="Z45" i="66"/>
  <c r="Z76" i="66" s="1"/>
  <c r="W45" i="66"/>
  <c r="W43" i="66" s="1"/>
  <c r="U45" i="66"/>
  <c r="S45" i="66"/>
  <c r="P45" i="66"/>
  <c r="P43" i="66" s="1"/>
  <c r="O45" i="66"/>
  <c r="N45" i="66"/>
  <c r="M45" i="66"/>
  <c r="M43" i="66" s="1"/>
  <c r="K45" i="66"/>
  <c r="K43" i="66" s="1"/>
  <c r="I45" i="66"/>
  <c r="H45" i="66"/>
  <c r="G45" i="66"/>
  <c r="AP43" i="66"/>
  <c r="AO43" i="66"/>
  <c r="AN43" i="66"/>
  <c r="AK43" i="66"/>
  <c r="AH43" i="66"/>
  <c r="AG43" i="66"/>
  <c r="AF43" i="66"/>
  <c r="AD43" i="66"/>
  <c r="AB43" i="66"/>
  <c r="Y43" i="66"/>
  <c r="X43" i="66"/>
  <c r="V43" i="66"/>
  <c r="U43" i="66"/>
  <c r="T43" i="66"/>
  <c r="S43" i="66"/>
  <c r="R43" i="66"/>
  <c r="Q43" i="66"/>
  <c r="L43" i="66"/>
  <c r="H43" i="66"/>
  <c r="F43" i="66"/>
  <c r="E43" i="66"/>
  <c r="AI42" i="66"/>
  <c r="AE42" i="66"/>
  <c r="AC42" i="66"/>
  <c r="AI41" i="66"/>
  <c r="AE41" i="66"/>
  <c r="W41" i="66"/>
  <c r="O41" i="66"/>
  <c r="AJ40" i="66"/>
  <c r="AI40" i="66"/>
  <c r="AH40" i="66"/>
  <c r="AH78" i="66" s="1"/>
  <c r="AF40" i="66"/>
  <c r="AD40" i="66"/>
  <c r="AD36" i="66" s="1"/>
  <c r="AC40" i="66"/>
  <c r="AA40" i="66"/>
  <c r="W40" i="66"/>
  <c r="W78" i="66" s="1"/>
  <c r="U40" i="66"/>
  <c r="U78" i="66" s="1"/>
  <c r="S40" i="66"/>
  <c r="S78" i="66" s="1"/>
  <c r="Q40" i="66"/>
  <c r="Q78" i="66" s="1"/>
  <c r="O40" i="66"/>
  <c r="O78" i="66" s="1"/>
  <c r="K40" i="66"/>
  <c r="K78" i="66" s="1"/>
  <c r="I40" i="66"/>
  <c r="I78" i="66" s="1"/>
  <c r="G40" i="66"/>
  <c r="G78" i="66" s="1"/>
  <c r="AJ39" i="66"/>
  <c r="AI39" i="66"/>
  <c r="AF39" i="66"/>
  <c r="AF77" i="66" s="1"/>
  <c r="AE39" i="66"/>
  <c r="AC39" i="66"/>
  <c r="AA39" i="66"/>
  <c r="W39" i="66"/>
  <c r="W77" i="66" s="1"/>
  <c r="U39" i="66"/>
  <c r="U77" i="66" s="1"/>
  <c r="S39" i="66"/>
  <c r="S77" i="66" s="1"/>
  <c r="Q39" i="66"/>
  <c r="Q77" i="66" s="1"/>
  <c r="O39" i="66"/>
  <c r="O77" i="66" s="1"/>
  <c r="K39" i="66"/>
  <c r="K77" i="66" s="1"/>
  <c r="I39" i="66"/>
  <c r="I77" i="66" s="1"/>
  <c r="G39" i="66"/>
  <c r="G77" i="66" s="1"/>
  <c r="AJ38" i="66"/>
  <c r="AJ36" i="66" s="1"/>
  <c r="AI38" i="66"/>
  <c r="AF38" i="66"/>
  <c r="AE38" i="66" s="1"/>
  <c r="AC38" i="66"/>
  <c r="AA38" i="66"/>
  <c r="W38" i="66"/>
  <c r="V38" i="66"/>
  <c r="V36" i="66" s="1"/>
  <c r="U38" i="66"/>
  <c r="S38" i="66"/>
  <c r="S36" i="66" s="1"/>
  <c r="Q38" i="66"/>
  <c r="O38" i="66"/>
  <c r="M38" i="66"/>
  <c r="M36" i="66" s="1"/>
  <c r="K38" i="66"/>
  <c r="I38" i="66"/>
  <c r="G38" i="66"/>
  <c r="G36" i="66" s="1"/>
  <c r="AP36" i="66"/>
  <c r="AO36" i="66"/>
  <c r="AR36" i="66" s="1"/>
  <c r="AH36" i="66"/>
  <c r="AG36" i="66"/>
  <c r="AF36" i="66"/>
  <c r="AB36" i="66"/>
  <c r="Z36" i="66"/>
  <c r="Y36" i="66"/>
  <c r="X36" i="66"/>
  <c r="W36" i="66"/>
  <c r="T36" i="66"/>
  <c r="R36" i="66"/>
  <c r="P36" i="66"/>
  <c r="N36" i="66"/>
  <c r="L36" i="66"/>
  <c r="J36" i="66"/>
  <c r="H36" i="66"/>
  <c r="F36" i="66"/>
  <c r="E36" i="66"/>
  <c r="D36" i="66"/>
  <c r="AI34" i="66"/>
  <c r="AI32" i="66"/>
  <c r="AM29" i="66"/>
  <c r="AI31" i="66"/>
  <c r="AP29" i="66"/>
  <c r="AO29" i="66"/>
  <c r="AR29" i="66" s="1"/>
  <c r="AN29" i="66"/>
  <c r="AL29" i="66"/>
  <c r="AJ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9" i="66"/>
  <c r="AJ28" i="66"/>
  <c r="AJ80" i="66" s="1"/>
  <c r="AI28" i="66"/>
  <c r="AE28" i="66"/>
  <c r="AE80" i="66" s="1"/>
  <c r="AC28" i="66"/>
  <c r="AA28" i="66"/>
  <c r="AA80" i="66" s="1"/>
  <c r="AK27" i="66"/>
  <c r="AK79" i="66" s="1"/>
  <c r="AI27" i="66"/>
  <c r="AG27" i="66"/>
  <c r="AG79" i="66" s="1"/>
  <c r="AE27" i="66"/>
  <c r="AE79" i="66" s="1"/>
  <c r="X27" i="66"/>
  <c r="W27" i="66"/>
  <c r="W79" i="66" s="1"/>
  <c r="V27" i="66"/>
  <c r="V79" i="66" s="1"/>
  <c r="U27" i="66"/>
  <c r="U79" i="66" s="1"/>
  <c r="T27" i="66"/>
  <c r="T22" i="66" s="1"/>
  <c r="S27" i="66"/>
  <c r="S79" i="66" s="1"/>
  <c r="R27" i="66"/>
  <c r="R79" i="66" s="1"/>
  <c r="Q27" i="66"/>
  <c r="Q79" i="66" s="1"/>
  <c r="P27" i="66"/>
  <c r="P22" i="66" s="1"/>
  <c r="O27" i="66"/>
  <c r="O79" i="66" s="1"/>
  <c r="N27" i="66"/>
  <c r="N79" i="66" s="1"/>
  <c r="M27" i="66"/>
  <c r="M22" i="66" s="1"/>
  <c r="L27" i="66"/>
  <c r="L22" i="66" s="1"/>
  <c r="K27" i="66"/>
  <c r="K79" i="66" s="1"/>
  <c r="J27" i="66"/>
  <c r="I27" i="66"/>
  <c r="I79" i="66" s="1"/>
  <c r="H27" i="66"/>
  <c r="H22" i="66" s="1"/>
  <c r="G27" i="66"/>
  <c r="G79" i="66" s="1"/>
  <c r="AJ26" i="66"/>
  <c r="AJ78" i="66" s="1"/>
  <c r="AI26" i="66"/>
  <c r="AG26" i="66"/>
  <c r="AG78" i="66" s="1"/>
  <c r="AE26" i="66"/>
  <c r="AC26" i="66"/>
  <c r="AA26" i="66"/>
  <c r="AJ25" i="66"/>
  <c r="AJ77" i="66" s="1"/>
  <c r="AI25" i="66"/>
  <c r="AE25" i="66"/>
  <c r="AC25" i="66"/>
  <c r="AA25" i="66"/>
  <c r="AJ24" i="66"/>
  <c r="AI24" i="66"/>
  <c r="AG24" i="66"/>
  <c r="AG22" i="66" s="1"/>
  <c r="AE24" i="66"/>
  <c r="AC24" i="66"/>
  <c r="AC22" i="66" s="1"/>
  <c r="AA24" i="66"/>
  <c r="X24" i="66"/>
  <c r="W24" i="66"/>
  <c r="W76" i="66" s="1"/>
  <c r="V24" i="66"/>
  <c r="U24" i="66"/>
  <c r="U76" i="66" s="1"/>
  <c r="S24" i="66"/>
  <c r="R24" i="66"/>
  <c r="Q24" i="66"/>
  <c r="F24" i="66"/>
  <c r="AP22" i="66"/>
  <c r="AO22" i="66"/>
  <c r="AL22" i="66"/>
  <c r="AK22" i="66"/>
  <c r="AH22" i="66"/>
  <c r="AF22" i="66"/>
  <c r="AD22" i="66"/>
  <c r="AB22" i="66"/>
  <c r="Z22" i="66"/>
  <c r="Y22" i="66"/>
  <c r="V22" i="66"/>
  <c r="K22" i="66"/>
  <c r="J22" i="66"/>
  <c r="E22" i="66"/>
  <c r="AI17" i="66"/>
  <c r="AI15" i="66" s="1"/>
  <c r="AG17" i="66"/>
  <c r="AG15" i="66" s="1"/>
  <c r="AE17" i="66"/>
  <c r="AC17" i="66"/>
  <c r="S17" i="66"/>
  <c r="S76" i="66" s="1"/>
  <c r="AP15" i="66"/>
  <c r="AO15" i="66"/>
  <c r="AR15" i="66" s="1"/>
  <c r="AN15" i="66"/>
  <c r="AL15" i="66"/>
  <c r="AJ15" i="66"/>
  <c r="AH15" i="66"/>
  <c r="AF15" i="66"/>
  <c r="AE15" i="66"/>
  <c r="AD15" i="66"/>
  <c r="AC15" i="66"/>
  <c r="AB15" i="66"/>
  <c r="AA15" i="66"/>
  <c r="Z15" i="66"/>
  <c r="Y15" i="66"/>
  <c r="X15" i="66"/>
  <c r="W15" i="66"/>
  <c r="V15" i="66"/>
  <c r="U15" i="66"/>
  <c r="T15" i="66"/>
  <c r="R15" i="66"/>
  <c r="Q15" i="66"/>
  <c r="P15" i="66"/>
  <c r="O15" i="66"/>
  <c r="N15" i="66"/>
  <c r="M15" i="66"/>
  <c r="L15" i="66"/>
  <c r="K15" i="66"/>
  <c r="J15" i="66"/>
  <c r="I15" i="66"/>
  <c r="H15" i="66"/>
  <c r="G15" i="66"/>
  <c r="F15" i="66"/>
  <c r="E15" i="66"/>
  <c r="D15" i="66"/>
  <c r="C15" i="66"/>
  <c r="F14" i="66"/>
  <c r="AI12" i="66"/>
  <c r="AE12" i="66"/>
  <c r="AI11" i="66"/>
  <c r="AE11" i="66"/>
  <c r="AE77" i="66" s="1"/>
  <c r="AI10" i="66"/>
  <c r="AG10" i="66"/>
  <c r="AF10" i="66"/>
  <c r="AF76" i="66" s="1"/>
  <c r="O10" i="66"/>
  <c r="M10" i="66"/>
  <c r="K10" i="66"/>
  <c r="K76" i="66" s="1"/>
  <c r="I10" i="66"/>
  <c r="I8" i="66" s="1"/>
  <c r="G10" i="66"/>
  <c r="G76" i="66" s="1"/>
  <c r="AP8" i="66"/>
  <c r="AH8" i="66"/>
  <c r="AF8" i="66"/>
  <c r="AD8" i="66"/>
  <c r="AC8" i="66"/>
  <c r="AB8" i="66"/>
  <c r="AA8" i="66"/>
  <c r="Z8" i="66"/>
  <c r="Y8" i="66"/>
  <c r="X8" i="66"/>
  <c r="W8" i="66"/>
  <c r="V8" i="66"/>
  <c r="U8" i="66"/>
  <c r="T8" i="66"/>
  <c r="S8" i="66"/>
  <c r="R8" i="66"/>
  <c r="Q8" i="66"/>
  <c r="P8" i="66"/>
  <c r="N8" i="66"/>
  <c r="L8" i="66"/>
  <c r="J8" i="66"/>
  <c r="H8" i="66"/>
  <c r="E8" i="66"/>
  <c r="E75" i="66" s="1"/>
  <c r="E82" i="66" s="1"/>
  <c r="AM47" i="65"/>
  <c r="AM46" i="65"/>
  <c r="AM45" i="65"/>
  <c r="AM13" i="65"/>
  <c r="AM11" i="65"/>
  <c r="AM10" i="65"/>
  <c r="AO27" i="65"/>
  <c r="AO22" i="65" s="1"/>
  <c r="AN26" i="65"/>
  <c r="AN25" i="65"/>
  <c r="AN24" i="65"/>
  <c r="AM27" i="65"/>
  <c r="AM26" i="65"/>
  <c r="AM25" i="65"/>
  <c r="AM24" i="65"/>
  <c r="AN39" i="65"/>
  <c r="AN40" i="65"/>
  <c r="AN38" i="65"/>
  <c r="AM40" i="65"/>
  <c r="AM39" i="65"/>
  <c r="AM38" i="65"/>
  <c r="AM34" i="65"/>
  <c r="AM32" i="65"/>
  <c r="AM29" i="65" s="1"/>
  <c r="AM31" i="65"/>
  <c r="AM18" i="65"/>
  <c r="AM15" i="65" s="1"/>
  <c r="AQ15" i="65" s="1"/>
  <c r="AM17" i="65"/>
  <c r="AP80" i="65"/>
  <c r="AO80" i="65"/>
  <c r="AN80" i="65"/>
  <c r="AL80" i="65"/>
  <c r="AK80" i="65"/>
  <c r="AH80" i="65"/>
  <c r="AG80" i="65"/>
  <c r="AF80" i="65"/>
  <c r="AD80" i="65"/>
  <c r="AB80" i="65"/>
  <c r="Z80" i="65"/>
  <c r="Y80" i="65"/>
  <c r="X80" i="65"/>
  <c r="W80" i="65"/>
  <c r="V80" i="65"/>
  <c r="U80" i="65"/>
  <c r="T80" i="65"/>
  <c r="S80" i="65"/>
  <c r="R80" i="65"/>
  <c r="Q80" i="65"/>
  <c r="P80" i="65"/>
  <c r="O80" i="65"/>
  <c r="N80" i="65"/>
  <c r="M80" i="65"/>
  <c r="L80" i="65"/>
  <c r="K80" i="65"/>
  <c r="J80" i="65"/>
  <c r="H80" i="65"/>
  <c r="E80" i="65"/>
  <c r="D80" i="65"/>
  <c r="C80" i="65"/>
  <c r="AP79" i="65"/>
  <c r="AN79" i="65"/>
  <c r="AL79" i="65"/>
  <c r="AJ79" i="65"/>
  <c r="AH79" i="65"/>
  <c r="AF79" i="65"/>
  <c r="AD79" i="65"/>
  <c r="AB79" i="65"/>
  <c r="Z79" i="65"/>
  <c r="Y79" i="65"/>
  <c r="F79" i="65"/>
  <c r="E79" i="65"/>
  <c r="D79" i="65"/>
  <c r="C79" i="65"/>
  <c r="AP78" i="65"/>
  <c r="AO78" i="65"/>
  <c r="AL78" i="65"/>
  <c r="AK78" i="65"/>
  <c r="AB78" i="65"/>
  <c r="Z78" i="65"/>
  <c r="Y78" i="65"/>
  <c r="X78" i="65"/>
  <c r="V78" i="65"/>
  <c r="T78" i="65"/>
  <c r="R78" i="65"/>
  <c r="P78" i="65"/>
  <c r="N78" i="65"/>
  <c r="M78" i="65"/>
  <c r="L78" i="65"/>
  <c r="J78" i="65"/>
  <c r="I78" i="65"/>
  <c r="H78" i="65"/>
  <c r="F78" i="65"/>
  <c r="E78" i="65"/>
  <c r="D78" i="65"/>
  <c r="C78" i="65"/>
  <c r="AP77" i="65"/>
  <c r="AO77" i="65"/>
  <c r="AL77" i="65"/>
  <c r="AK77" i="65"/>
  <c r="AH77" i="65"/>
  <c r="AG77" i="65"/>
  <c r="AD77" i="65"/>
  <c r="AB77" i="65"/>
  <c r="Z77" i="65"/>
  <c r="Y77" i="65"/>
  <c r="X77" i="65"/>
  <c r="V77" i="65"/>
  <c r="T77" i="65"/>
  <c r="R77" i="65"/>
  <c r="P77" i="65"/>
  <c r="N77" i="65"/>
  <c r="M77" i="65"/>
  <c r="L77" i="65"/>
  <c r="J77" i="65"/>
  <c r="H77" i="65"/>
  <c r="F77" i="65"/>
  <c r="E77" i="65"/>
  <c r="D77" i="65"/>
  <c r="C77" i="65"/>
  <c r="AP76" i="65"/>
  <c r="AO76" i="65"/>
  <c r="AL76" i="65"/>
  <c r="AK76" i="65"/>
  <c r="AH76" i="65"/>
  <c r="Y76" i="65"/>
  <c r="E76" i="65"/>
  <c r="D76" i="65"/>
  <c r="C76" i="65"/>
  <c r="D73" i="65"/>
  <c r="C73" i="65"/>
  <c r="Z71" i="65"/>
  <c r="Y71" i="65"/>
  <c r="X71" i="65"/>
  <c r="W71" i="65"/>
  <c r="V71" i="65"/>
  <c r="U71" i="65"/>
  <c r="T71" i="65"/>
  <c r="S71" i="65"/>
  <c r="R71" i="65"/>
  <c r="Q71" i="65"/>
  <c r="P71" i="65"/>
  <c r="O71" i="65"/>
  <c r="N71" i="65"/>
  <c r="M71" i="65"/>
  <c r="L71" i="65"/>
  <c r="K71" i="65"/>
  <c r="J71" i="65"/>
  <c r="I71" i="65"/>
  <c r="H71" i="65"/>
  <c r="G71" i="65"/>
  <c r="F71" i="65"/>
  <c r="E71" i="65"/>
  <c r="AP64" i="65"/>
  <c r="AO64" i="65"/>
  <c r="AR64" i="65" s="1"/>
  <c r="AN64" i="65"/>
  <c r="AM64" i="65"/>
  <c r="AL64" i="65"/>
  <c r="AJ64" i="65"/>
  <c r="AI64" i="65"/>
  <c r="AH64" i="65"/>
  <c r="AG64" i="65"/>
  <c r="AF64" i="65"/>
  <c r="AE64" i="65"/>
  <c r="AD64" i="65"/>
  <c r="AC64" i="65"/>
  <c r="AB64" i="65"/>
  <c r="AA64" i="65"/>
  <c r="Z64" i="65"/>
  <c r="Y64" i="65"/>
  <c r="X64" i="65"/>
  <c r="W64" i="65"/>
  <c r="V64" i="65"/>
  <c r="U64" i="65"/>
  <c r="T64" i="65"/>
  <c r="S64" i="65"/>
  <c r="R64" i="65"/>
  <c r="Q64" i="65"/>
  <c r="P64" i="65"/>
  <c r="O64" i="65"/>
  <c r="N64" i="65"/>
  <c r="M64" i="65"/>
  <c r="L64" i="65"/>
  <c r="K64" i="65"/>
  <c r="J64" i="65"/>
  <c r="I64" i="65"/>
  <c r="H64" i="65"/>
  <c r="G64" i="65"/>
  <c r="F64" i="65"/>
  <c r="E64" i="65"/>
  <c r="D64" i="65"/>
  <c r="I63" i="65"/>
  <c r="G63" i="65"/>
  <c r="G80" i="65" s="1"/>
  <c r="AA62" i="65"/>
  <c r="AC61" i="65"/>
  <c r="AE60" i="65"/>
  <c r="AC60" i="65"/>
  <c r="AA60" i="65"/>
  <c r="AD59" i="65"/>
  <c r="AD57" i="65" s="1"/>
  <c r="AC59" i="65"/>
  <c r="AB59" i="65"/>
  <c r="AB76" i="65" s="1"/>
  <c r="AA59" i="65"/>
  <c r="AA57" i="65" s="1"/>
  <c r="X59" i="65"/>
  <c r="X57" i="65" s="1"/>
  <c r="W59" i="65"/>
  <c r="V59" i="65"/>
  <c r="U59" i="65"/>
  <c r="U57" i="65" s="1"/>
  <c r="T59" i="65"/>
  <c r="T76" i="65" s="1"/>
  <c r="S59" i="65"/>
  <c r="S57" i="65" s="1"/>
  <c r="P59" i="65"/>
  <c r="P57" i="65" s="1"/>
  <c r="O59" i="65"/>
  <c r="L59" i="65"/>
  <c r="L76" i="65" s="1"/>
  <c r="K59" i="65"/>
  <c r="J59" i="65"/>
  <c r="J76" i="65" s="1"/>
  <c r="I59" i="65"/>
  <c r="H59" i="65"/>
  <c r="G59" i="65"/>
  <c r="G57" i="65" s="1"/>
  <c r="F59" i="65"/>
  <c r="F57" i="65" s="1"/>
  <c r="AP57" i="65"/>
  <c r="AO57" i="65"/>
  <c r="AR57" i="65" s="1"/>
  <c r="AN57" i="65"/>
  <c r="AM57" i="65"/>
  <c r="AQ57" i="65" s="1"/>
  <c r="AI57" i="65"/>
  <c r="AH57" i="65"/>
  <c r="AG57" i="65"/>
  <c r="AF57" i="65"/>
  <c r="AE57" i="65"/>
  <c r="AB57" i="65"/>
  <c r="Z57" i="65"/>
  <c r="Y57" i="65"/>
  <c r="W57" i="65"/>
  <c r="V57" i="65"/>
  <c r="T57" i="65"/>
  <c r="R57" i="65"/>
  <c r="Q57" i="65"/>
  <c r="O57" i="65"/>
  <c r="N57" i="65"/>
  <c r="M57" i="65"/>
  <c r="L57" i="65"/>
  <c r="K57" i="65"/>
  <c r="J57" i="65"/>
  <c r="E57" i="65"/>
  <c r="D57" i="65"/>
  <c r="Z50" i="65"/>
  <c r="Y50" i="65"/>
  <c r="X50" i="65"/>
  <c r="W50" i="65"/>
  <c r="V50" i="65"/>
  <c r="U50" i="65"/>
  <c r="T50" i="65"/>
  <c r="S50" i="65"/>
  <c r="R50" i="65"/>
  <c r="Q50" i="65"/>
  <c r="P50" i="65"/>
  <c r="O50" i="65"/>
  <c r="N50" i="65"/>
  <c r="M50" i="65"/>
  <c r="L50" i="65"/>
  <c r="K50" i="65"/>
  <c r="J50" i="65"/>
  <c r="I50" i="65"/>
  <c r="H50" i="65"/>
  <c r="G50" i="65"/>
  <c r="F50" i="65"/>
  <c r="E50" i="65"/>
  <c r="D50" i="65"/>
  <c r="AG48" i="65"/>
  <c r="AE48" i="65"/>
  <c r="AC48" i="65"/>
  <c r="AC79" i="65" s="1"/>
  <c r="AA48" i="65"/>
  <c r="AA79" i="65" s="1"/>
  <c r="W48" i="65"/>
  <c r="Q48" i="65"/>
  <c r="Q43" i="65" s="1"/>
  <c r="P48" i="65"/>
  <c r="O48" i="65"/>
  <c r="L48" i="65"/>
  <c r="K48" i="65"/>
  <c r="J48" i="65"/>
  <c r="I48" i="65"/>
  <c r="I43" i="65" s="1"/>
  <c r="H48" i="65"/>
  <c r="G48" i="65"/>
  <c r="AI47" i="65"/>
  <c r="AG47" i="65"/>
  <c r="AG43" i="65" s="1"/>
  <c r="AE47" i="65"/>
  <c r="AC47" i="65"/>
  <c r="AA47" i="65"/>
  <c r="AI46" i="65"/>
  <c r="AE46" i="65"/>
  <c r="AC46" i="65"/>
  <c r="AA46" i="65"/>
  <c r="AI45" i="65"/>
  <c r="AE45" i="65"/>
  <c r="AE43" i="65" s="1"/>
  <c r="AC45" i="65"/>
  <c r="AA45" i="65"/>
  <c r="Z45" i="65"/>
  <c r="Z76" i="65" s="1"/>
  <c r="W45" i="65"/>
  <c r="W43" i="65" s="1"/>
  <c r="U45" i="65"/>
  <c r="U43" i="65" s="1"/>
  <c r="S45" i="65"/>
  <c r="S43" i="65" s="1"/>
  <c r="P45" i="65"/>
  <c r="O45" i="65"/>
  <c r="O43" i="65" s="1"/>
  <c r="N45" i="65"/>
  <c r="N76" i="65" s="1"/>
  <c r="M45" i="65"/>
  <c r="M43" i="65" s="1"/>
  <c r="K45" i="65"/>
  <c r="I45" i="65"/>
  <c r="H45" i="65"/>
  <c r="G45" i="65"/>
  <c r="G43" i="65" s="1"/>
  <c r="AP43" i="65"/>
  <c r="AO43" i="65"/>
  <c r="AR43" i="65" s="1"/>
  <c r="AN43" i="65"/>
  <c r="AK43" i="65"/>
  <c r="AH43" i="65"/>
  <c r="AF43" i="65"/>
  <c r="AD43" i="65"/>
  <c r="AB43" i="65"/>
  <c r="Z43" i="65"/>
  <c r="Y43" i="65"/>
  <c r="X43" i="65"/>
  <c r="V43" i="65"/>
  <c r="T43" i="65"/>
  <c r="R43" i="65"/>
  <c r="L43" i="65"/>
  <c r="J43" i="65"/>
  <c r="H43" i="65"/>
  <c r="F43" i="65"/>
  <c r="E43" i="65"/>
  <c r="AM80" i="65"/>
  <c r="AI42" i="65"/>
  <c r="AE42" i="65"/>
  <c r="AC42" i="65"/>
  <c r="AI41" i="65"/>
  <c r="AE41" i="65"/>
  <c r="W41" i="65"/>
  <c r="O41" i="65"/>
  <c r="AJ40" i="65"/>
  <c r="AI40" i="65"/>
  <c r="AH40" i="65"/>
  <c r="AH78" i="65" s="1"/>
  <c r="AF40" i="65"/>
  <c r="AD40" i="65"/>
  <c r="AD36" i="65" s="1"/>
  <c r="AC40" i="65"/>
  <c r="AA40" i="65"/>
  <c r="W40" i="65"/>
  <c r="W78" i="65" s="1"/>
  <c r="U40" i="65"/>
  <c r="U78" i="65" s="1"/>
  <c r="S40" i="65"/>
  <c r="S78" i="65" s="1"/>
  <c r="Q40" i="65"/>
  <c r="Q78" i="65" s="1"/>
  <c r="O40" i="65"/>
  <c r="O78" i="65" s="1"/>
  <c r="K40" i="65"/>
  <c r="K78" i="65" s="1"/>
  <c r="I40" i="65"/>
  <c r="G40" i="65"/>
  <c r="G78" i="65" s="1"/>
  <c r="AJ39" i="65"/>
  <c r="AI39" i="65"/>
  <c r="AI36" i="65" s="1"/>
  <c r="AF39" i="65"/>
  <c r="AF77" i="65" s="1"/>
  <c r="AC39" i="65"/>
  <c r="AA39" i="65"/>
  <c r="W39" i="65"/>
  <c r="W77" i="65" s="1"/>
  <c r="U39" i="65"/>
  <c r="U77" i="65" s="1"/>
  <c r="S39" i="65"/>
  <c r="S77" i="65" s="1"/>
  <c r="Q39" i="65"/>
  <c r="Q77" i="65" s="1"/>
  <c r="O39" i="65"/>
  <c r="O77" i="65" s="1"/>
  <c r="K39" i="65"/>
  <c r="K77" i="65" s="1"/>
  <c r="I39" i="65"/>
  <c r="I77" i="65" s="1"/>
  <c r="G39" i="65"/>
  <c r="G77" i="65" s="1"/>
  <c r="AJ38" i="65"/>
  <c r="AJ36" i="65" s="1"/>
  <c r="AI38" i="65"/>
  <c r="AF38" i="65"/>
  <c r="AC38" i="65"/>
  <c r="AA38" i="65"/>
  <c r="W38" i="65"/>
  <c r="V38" i="65"/>
  <c r="V36" i="65" s="1"/>
  <c r="U38" i="65"/>
  <c r="S38" i="65"/>
  <c r="S36" i="65" s="1"/>
  <c r="Q38" i="65"/>
  <c r="O38" i="65"/>
  <c r="M38" i="65"/>
  <c r="K38" i="65"/>
  <c r="I38" i="65"/>
  <c r="G38" i="65"/>
  <c r="G36" i="65" s="1"/>
  <c r="AP36" i="65"/>
  <c r="AO36" i="65"/>
  <c r="AR36" i="65" s="1"/>
  <c r="AH36" i="65"/>
  <c r="AG36" i="65"/>
  <c r="AB36" i="65"/>
  <c r="Z36" i="65"/>
  <c r="Y36" i="65"/>
  <c r="X36" i="65"/>
  <c r="T36" i="65"/>
  <c r="R36" i="65"/>
  <c r="P36" i="65"/>
  <c r="N36" i="65"/>
  <c r="M36" i="65"/>
  <c r="L36" i="65"/>
  <c r="J36" i="65"/>
  <c r="H36" i="65"/>
  <c r="F36" i="65"/>
  <c r="E36" i="65"/>
  <c r="D36" i="65"/>
  <c r="AI34" i="65"/>
  <c r="AI32" i="65"/>
  <c r="AI31" i="65"/>
  <c r="AP29" i="65"/>
  <c r="AO29" i="65"/>
  <c r="AR29" i="65" s="1"/>
  <c r="AN29" i="65"/>
  <c r="AL29" i="65"/>
  <c r="AJ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9" i="65"/>
  <c r="AJ28" i="65"/>
  <c r="AJ80" i="65" s="1"/>
  <c r="AI28" i="65"/>
  <c r="AI80" i="65" s="1"/>
  <c r="AE28" i="65"/>
  <c r="AE80" i="65" s="1"/>
  <c r="AC28" i="65"/>
  <c r="AC80" i="65" s="1"/>
  <c r="AA28" i="65"/>
  <c r="AA80" i="65" s="1"/>
  <c r="AK27" i="65"/>
  <c r="AK79" i="65" s="1"/>
  <c r="AI27" i="65"/>
  <c r="AG27" i="65"/>
  <c r="AE27" i="65"/>
  <c r="X27" i="65"/>
  <c r="X79" i="65" s="1"/>
  <c r="W27" i="65"/>
  <c r="W79" i="65" s="1"/>
  <c r="V27" i="65"/>
  <c r="U27" i="65"/>
  <c r="U79" i="65" s="1"/>
  <c r="T27" i="65"/>
  <c r="T79" i="65" s="1"/>
  <c r="S27" i="65"/>
  <c r="S79" i="65" s="1"/>
  <c r="R27" i="65"/>
  <c r="R79" i="65" s="1"/>
  <c r="Q27" i="65"/>
  <c r="P27" i="65"/>
  <c r="P22" i="65" s="1"/>
  <c r="O27" i="65"/>
  <c r="N27" i="65"/>
  <c r="N79" i="65" s="1"/>
  <c r="M27" i="65"/>
  <c r="M22" i="65" s="1"/>
  <c r="L27" i="65"/>
  <c r="L22" i="65" s="1"/>
  <c r="K27" i="65"/>
  <c r="J27" i="65"/>
  <c r="J22" i="65" s="1"/>
  <c r="I27" i="65"/>
  <c r="I22" i="65" s="1"/>
  <c r="H27" i="65"/>
  <c r="H79" i="65" s="1"/>
  <c r="G27" i="65"/>
  <c r="G22" i="65" s="1"/>
  <c r="AM78" i="65"/>
  <c r="AJ26" i="65"/>
  <c r="AI26" i="65"/>
  <c r="AG26" i="65"/>
  <c r="AE26" i="65"/>
  <c r="AC26" i="65"/>
  <c r="AA26" i="65"/>
  <c r="AJ25" i="65"/>
  <c r="AJ77" i="65" s="1"/>
  <c r="AI25" i="65"/>
  <c r="AE25" i="65"/>
  <c r="AC25" i="65"/>
  <c r="AA25" i="65"/>
  <c r="AJ24" i="65"/>
  <c r="AI24" i="65"/>
  <c r="AG24" i="65"/>
  <c r="AE24" i="65"/>
  <c r="AC24" i="65"/>
  <c r="AC22" i="65" s="1"/>
  <c r="AA24" i="65"/>
  <c r="X24" i="65"/>
  <c r="W24" i="65"/>
  <c r="V24" i="65"/>
  <c r="V76" i="65" s="1"/>
  <c r="U24" i="65"/>
  <c r="U76" i="65" s="1"/>
  <c r="S24" i="65"/>
  <c r="S22" i="65" s="1"/>
  <c r="R24" i="65"/>
  <c r="Q24" i="65"/>
  <c r="Q22" i="65" s="1"/>
  <c r="F24" i="65"/>
  <c r="AP22" i="65"/>
  <c r="AL22" i="65"/>
  <c r="AK22" i="65"/>
  <c r="AK75" i="65" s="1"/>
  <c r="AK82" i="65" s="1"/>
  <c r="AH22" i="65"/>
  <c r="AF22" i="65"/>
  <c r="AD22" i="65"/>
  <c r="AB22" i="65"/>
  <c r="Z22" i="65"/>
  <c r="Y22" i="65"/>
  <c r="W22" i="65"/>
  <c r="T22" i="65"/>
  <c r="O22" i="65"/>
  <c r="K22" i="65"/>
  <c r="F22" i="65"/>
  <c r="E22" i="65"/>
  <c r="AI17" i="65"/>
  <c r="AI15" i="65" s="1"/>
  <c r="AG17" i="65"/>
  <c r="AE17" i="65"/>
  <c r="AC17" i="65"/>
  <c r="AC15" i="65" s="1"/>
  <c r="S17" i="65"/>
  <c r="AP15" i="65"/>
  <c r="AO15" i="65"/>
  <c r="AR15" i="65" s="1"/>
  <c r="AN15" i="65"/>
  <c r="AL15" i="65"/>
  <c r="AJ15" i="65"/>
  <c r="AH15" i="65"/>
  <c r="AG15" i="65"/>
  <c r="AF15" i="65"/>
  <c r="AE15" i="65"/>
  <c r="AD15" i="65"/>
  <c r="AB15" i="65"/>
  <c r="AA15" i="65"/>
  <c r="Z15" i="65"/>
  <c r="Y15" i="65"/>
  <c r="X15" i="65"/>
  <c r="W15" i="65"/>
  <c r="V15" i="65"/>
  <c r="U15" i="65"/>
  <c r="T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F14" i="65"/>
  <c r="AI12" i="65"/>
  <c r="AE12" i="65"/>
  <c r="AI11" i="65"/>
  <c r="AE11" i="65"/>
  <c r="AI10" i="65"/>
  <c r="AI76" i="65" s="1"/>
  <c r="AG10" i="65"/>
  <c r="AF10" i="65"/>
  <c r="AE10" i="65" s="1"/>
  <c r="O10" i="65"/>
  <c r="M10" i="65"/>
  <c r="K10" i="65"/>
  <c r="K76" i="65" s="1"/>
  <c r="I10" i="65"/>
  <c r="I8" i="65" s="1"/>
  <c r="G10" i="65"/>
  <c r="AP8" i="65"/>
  <c r="AO8" i="65"/>
  <c r="AR8" i="65" s="1"/>
  <c r="AN8" i="65"/>
  <c r="AH8" i="65"/>
  <c r="AG8" i="65"/>
  <c r="AF8" i="65"/>
  <c r="AD8" i="65"/>
  <c r="AC8" i="65"/>
  <c r="AB8" i="65"/>
  <c r="AB75" i="65" s="1"/>
  <c r="AB82" i="65" s="1"/>
  <c r="AA8" i="65"/>
  <c r="Z8" i="65"/>
  <c r="Y8" i="65"/>
  <c r="X8" i="65"/>
  <c r="W8" i="65"/>
  <c r="V8" i="65"/>
  <c r="U8" i="65"/>
  <c r="T8" i="65"/>
  <c r="S8" i="65"/>
  <c r="R8" i="65"/>
  <c r="Q8" i="65"/>
  <c r="P8" i="65"/>
  <c r="N8" i="65"/>
  <c r="M8" i="65"/>
  <c r="L8" i="65"/>
  <c r="J8" i="65"/>
  <c r="H8" i="65"/>
  <c r="G8" i="65"/>
  <c r="E8" i="65"/>
  <c r="AM13" i="64"/>
  <c r="AM11" i="64"/>
  <c r="AM10" i="64"/>
  <c r="AN39" i="64"/>
  <c r="AN38" i="64"/>
  <c r="AN40" i="64"/>
  <c r="AM42" i="64"/>
  <c r="AM80" i="64" s="1"/>
  <c r="AM40" i="64"/>
  <c r="AM39" i="64"/>
  <c r="AM38" i="64"/>
  <c r="AM46" i="64"/>
  <c r="AM47" i="64"/>
  <c r="AM45" i="64"/>
  <c r="AM18" i="64"/>
  <c r="AM17" i="64"/>
  <c r="AM76" i="64" s="1"/>
  <c r="AM34" i="64"/>
  <c r="AM32" i="64"/>
  <c r="AM31" i="64"/>
  <c r="AO27" i="64"/>
  <c r="AO22" i="64" s="1"/>
  <c r="AN26" i="64"/>
  <c r="AN25" i="64"/>
  <c r="AN24" i="64"/>
  <c r="AM27" i="64"/>
  <c r="AM26" i="64"/>
  <c r="AM25" i="64"/>
  <c r="AM24" i="64"/>
  <c r="AP80" i="64"/>
  <c r="AO80" i="64"/>
  <c r="AN80" i="64"/>
  <c r="AL80" i="64"/>
  <c r="AK80" i="64"/>
  <c r="AH80" i="64"/>
  <c r="AG80" i="64"/>
  <c r="AF80" i="64"/>
  <c r="AD80" i="64"/>
  <c r="AB80" i="64"/>
  <c r="Z80" i="64"/>
  <c r="Y80" i="64"/>
  <c r="X80" i="64"/>
  <c r="W80" i="64"/>
  <c r="V80" i="64"/>
  <c r="U80" i="64"/>
  <c r="T80" i="64"/>
  <c r="S80" i="64"/>
  <c r="R80" i="64"/>
  <c r="Q80" i="64"/>
  <c r="P80" i="64"/>
  <c r="O80" i="64"/>
  <c r="N80" i="64"/>
  <c r="M80" i="64"/>
  <c r="L80" i="64"/>
  <c r="K80" i="64"/>
  <c r="J80" i="64"/>
  <c r="H80" i="64"/>
  <c r="E80" i="64"/>
  <c r="D80" i="64"/>
  <c r="C80" i="64"/>
  <c r="AP79" i="64"/>
  <c r="AN79" i="64"/>
  <c r="AL79" i="64"/>
  <c r="AJ79" i="64"/>
  <c r="AH79" i="64"/>
  <c r="AF79" i="64"/>
  <c r="AD79" i="64"/>
  <c r="AB79" i="64"/>
  <c r="Z79" i="64"/>
  <c r="Y79" i="64"/>
  <c r="F79" i="64"/>
  <c r="E79" i="64"/>
  <c r="D79" i="64"/>
  <c r="C79" i="64"/>
  <c r="AP78" i="64"/>
  <c r="AO78" i="64"/>
  <c r="AL78" i="64"/>
  <c r="AK78" i="64"/>
  <c r="AB78" i="64"/>
  <c r="Z78" i="64"/>
  <c r="Y78" i="64"/>
  <c r="X78" i="64"/>
  <c r="V78" i="64"/>
  <c r="T78" i="64"/>
  <c r="R78" i="64"/>
  <c r="P78" i="64"/>
  <c r="N78" i="64"/>
  <c r="M78" i="64"/>
  <c r="L78" i="64"/>
  <c r="J78" i="64"/>
  <c r="H78" i="64"/>
  <c r="F78" i="64"/>
  <c r="E78" i="64"/>
  <c r="D78" i="64"/>
  <c r="C78" i="64"/>
  <c r="AP77" i="64"/>
  <c r="AO77" i="64"/>
  <c r="AL77" i="64"/>
  <c r="AK77" i="64"/>
  <c r="AH77" i="64"/>
  <c r="AG77" i="64"/>
  <c r="AD77" i="64"/>
  <c r="AB77" i="64"/>
  <c r="Z77" i="64"/>
  <c r="Y77" i="64"/>
  <c r="X77" i="64"/>
  <c r="V77" i="64"/>
  <c r="T77" i="64"/>
  <c r="R77" i="64"/>
  <c r="P77" i="64"/>
  <c r="N77" i="64"/>
  <c r="M77" i="64"/>
  <c r="L77" i="64"/>
  <c r="J77" i="64"/>
  <c r="H77" i="64"/>
  <c r="F77" i="64"/>
  <c r="E77" i="64"/>
  <c r="D77" i="64"/>
  <c r="C77" i="64"/>
  <c r="AP76" i="64"/>
  <c r="AO76" i="64"/>
  <c r="AL76" i="64"/>
  <c r="AK76" i="64"/>
  <c r="AH76" i="64"/>
  <c r="AB76" i="64"/>
  <c r="Y76" i="64"/>
  <c r="E76" i="64"/>
  <c r="D76" i="64"/>
  <c r="C76" i="64"/>
  <c r="D73" i="64"/>
  <c r="C73" i="64"/>
  <c r="Z71" i="64"/>
  <c r="Y71" i="64"/>
  <c r="X71" i="64"/>
  <c r="W71" i="64"/>
  <c r="V71" i="64"/>
  <c r="U71" i="64"/>
  <c r="T71" i="64"/>
  <c r="S71" i="64"/>
  <c r="R71" i="64"/>
  <c r="Q71" i="64"/>
  <c r="P71" i="64"/>
  <c r="O71" i="64"/>
  <c r="N71" i="64"/>
  <c r="M71" i="64"/>
  <c r="L71" i="64"/>
  <c r="K71" i="64"/>
  <c r="J71" i="64"/>
  <c r="I71" i="64"/>
  <c r="H71" i="64"/>
  <c r="G71" i="64"/>
  <c r="F71" i="64"/>
  <c r="E71" i="64"/>
  <c r="AP64" i="64"/>
  <c r="AO64" i="64"/>
  <c r="AR64" i="64" s="1"/>
  <c r="AN64" i="64"/>
  <c r="AM64" i="64"/>
  <c r="AL64" i="64"/>
  <c r="AJ64" i="64"/>
  <c r="AI64" i="64"/>
  <c r="AH64" i="64"/>
  <c r="AG64" i="64"/>
  <c r="AF64" i="64"/>
  <c r="AE64" i="64"/>
  <c r="AD64" i="64"/>
  <c r="AC64" i="64"/>
  <c r="AB64" i="64"/>
  <c r="AA64" i="64"/>
  <c r="Z64" i="64"/>
  <c r="Y64" i="64"/>
  <c r="X64" i="64"/>
  <c r="W64" i="64"/>
  <c r="V64" i="64"/>
  <c r="U64" i="64"/>
  <c r="T64" i="64"/>
  <c r="S64" i="64"/>
  <c r="R64" i="64"/>
  <c r="Q64" i="64"/>
  <c r="P64" i="64"/>
  <c r="O64" i="64"/>
  <c r="N64" i="64"/>
  <c r="M64" i="64"/>
  <c r="L64" i="64"/>
  <c r="K64" i="64"/>
  <c r="J64" i="64"/>
  <c r="I64" i="64"/>
  <c r="H64" i="64"/>
  <c r="G64" i="64"/>
  <c r="F64" i="64"/>
  <c r="E64" i="64"/>
  <c r="D64" i="64"/>
  <c r="I63" i="64"/>
  <c r="G63" i="64"/>
  <c r="G80" i="64" s="1"/>
  <c r="AA62" i="64"/>
  <c r="AC61" i="64"/>
  <c r="AE60" i="64"/>
  <c r="AC60" i="64"/>
  <c r="AA60" i="64"/>
  <c r="AD59" i="64"/>
  <c r="AD57" i="64" s="1"/>
  <c r="AC59" i="64"/>
  <c r="AC57" i="64" s="1"/>
  <c r="AB59" i="64"/>
  <c r="AA59" i="64"/>
  <c r="AA57" i="64" s="1"/>
  <c r="X59" i="64"/>
  <c r="W59" i="64"/>
  <c r="V59" i="64"/>
  <c r="V57" i="64" s="1"/>
  <c r="U59" i="64"/>
  <c r="T59" i="64"/>
  <c r="T76" i="64" s="1"/>
  <c r="S59" i="64"/>
  <c r="S57" i="64" s="1"/>
  <c r="P59" i="64"/>
  <c r="O59" i="64"/>
  <c r="O57" i="64" s="1"/>
  <c r="L59" i="64"/>
  <c r="L76" i="64" s="1"/>
  <c r="K59" i="64"/>
  <c r="J59" i="64"/>
  <c r="J76" i="64" s="1"/>
  <c r="I59" i="64"/>
  <c r="H59" i="64"/>
  <c r="H57" i="64" s="1"/>
  <c r="G59" i="64"/>
  <c r="G57" i="64" s="1"/>
  <c r="F59" i="64"/>
  <c r="AP57" i="64"/>
  <c r="AO57" i="64"/>
  <c r="AR57" i="64" s="1"/>
  <c r="AN57" i="64"/>
  <c r="AM57" i="64"/>
  <c r="AI57" i="64"/>
  <c r="AH57" i="64"/>
  <c r="AG57" i="64"/>
  <c r="AF57" i="64"/>
  <c r="AE57" i="64"/>
  <c r="AB57" i="64"/>
  <c r="Z57" i="64"/>
  <c r="Y57" i="64"/>
  <c r="X57" i="64"/>
  <c r="W57" i="64"/>
  <c r="U57" i="64"/>
  <c r="R57" i="64"/>
  <c r="Q57" i="64"/>
  <c r="P57" i="64"/>
  <c r="N57" i="64"/>
  <c r="M57" i="64"/>
  <c r="L57" i="64"/>
  <c r="K57" i="64"/>
  <c r="J57" i="64"/>
  <c r="F57" i="64"/>
  <c r="E57" i="64"/>
  <c r="D57" i="64"/>
  <c r="Z50" i="64"/>
  <c r="Y50" i="64"/>
  <c r="X50" i="64"/>
  <c r="W50" i="64"/>
  <c r="V50" i="64"/>
  <c r="U50" i="64"/>
  <c r="T50" i="64"/>
  <c r="S50" i="64"/>
  <c r="R50" i="64"/>
  <c r="Q50" i="64"/>
  <c r="P50" i="64"/>
  <c r="O50" i="64"/>
  <c r="N50" i="64"/>
  <c r="M50" i="64"/>
  <c r="L50" i="64"/>
  <c r="K50" i="64"/>
  <c r="J50" i="64"/>
  <c r="I50" i="64"/>
  <c r="H50" i="64"/>
  <c r="G50" i="64"/>
  <c r="F50" i="64"/>
  <c r="E50" i="64"/>
  <c r="D50" i="64"/>
  <c r="AG48" i="64"/>
  <c r="AE48" i="64"/>
  <c r="AC48" i="64"/>
  <c r="AC79" i="64" s="1"/>
  <c r="AA48" i="64"/>
  <c r="W48" i="64"/>
  <c r="Q48" i="64"/>
  <c r="P48" i="64"/>
  <c r="O48" i="64"/>
  <c r="L48" i="64"/>
  <c r="K48" i="64"/>
  <c r="J48" i="64"/>
  <c r="J43" i="64" s="1"/>
  <c r="I48" i="64"/>
  <c r="H48" i="64"/>
  <c r="G48" i="64"/>
  <c r="AM43" i="64"/>
  <c r="AI47" i="64"/>
  <c r="AG47" i="64"/>
  <c r="AG43" i="64" s="1"/>
  <c r="AE47" i="64"/>
  <c r="AC47" i="64"/>
  <c r="AA47" i="64"/>
  <c r="AI46" i="64"/>
  <c r="AE46" i="64"/>
  <c r="AC46" i="64"/>
  <c r="AA46" i="64"/>
  <c r="AI45" i="64"/>
  <c r="AE45" i="64"/>
  <c r="AE43" i="64" s="1"/>
  <c r="AC45" i="64"/>
  <c r="AA45" i="64"/>
  <c r="Z45" i="64"/>
  <c r="Z76" i="64" s="1"/>
  <c r="W45" i="64"/>
  <c r="U45" i="64"/>
  <c r="U43" i="64" s="1"/>
  <c r="S45" i="64"/>
  <c r="P45" i="64"/>
  <c r="O45" i="64"/>
  <c r="O43" i="64" s="1"/>
  <c r="N45" i="64"/>
  <c r="N76" i="64" s="1"/>
  <c r="M45" i="64"/>
  <c r="K45" i="64"/>
  <c r="I45" i="64"/>
  <c r="H45" i="64"/>
  <c r="H43" i="64" s="1"/>
  <c r="G45" i="64"/>
  <c r="G43" i="64" s="1"/>
  <c r="AP43" i="64"/>
  <c r="AO43" i="64"/>
  <c r="AN43" i="64"/>
  <c r="AK43" i="64"/>
  <c r="AH43" i="64"/>
  <c r="AF43" i="64"/>
  <c r="AD43" i="64"/>
  <c r="AB43" i="64"/>
  <c r="Y43" i="64"/>
  <c r="X43" i="64"/>
  <c r="V43" i="64"/>
  <c r="T43" i="64"/>
  <c r="S43" i="64"/>
  <c r="R43" i="64"/>
  <c r="Q43" i="64"/>
  <c r="N43" i="64"/>
  <c r="M43" i="64"/>
  <c r="L43" i="64"/>
  <c r="I43" i="64"/>
  <c r="F43" i="64"/>
  <c r="E43" i="64"/>
  <c r="AI42" i="64"/>
  <c r="AE42" i="64"/>
  <c r="AC42" i="64"/>
  <c r="AI41" i="64"/>
  <c r="AE41" i="64"/>
  <c r="W41" i="64"/>
  <c r="O41" i="64"/>
  <c r="AJ40" i="64"/>
  <c r="AI40" i="64"/>
  <c r="AH40" i="64"/>
  <c r="AH78" i="64" s="1"/>
  <c r="AF40" i="64"/>
  <c r="AF78" i="64" s="1"/>
  <c r="AE40" i="64"/>
  <c r="AD40" i="64"/>
  <c r="AD36" i="64" s="1"/>
  <c r="AC40" i="64"/>
  <c r="AA40" i="64"/>
  <c r="W40" i="64"/>
  <c r="W78" i="64" s="1"/>
  <c r="U40" i="64"/>
  <c r="U78" i="64" s="1"/>
  <c r="S40" i="64"/>
  <c r="S78" i="64" s="1"/>
  <c r="Q40" i="64"/>
  <c r="Q78" i="64" s="1"/>
  <c r="O40" i="64"/>
  <c r="O78" i="64" s="1"/>
  <c r="K40" i="64"/>
  <c r="K78" i="64" s="1"/>
  <c r="I40" i="64"/>
  <c r="I78" i="64" s="1"/>
  <c r="G40" i="64"/>
  <c r="G78" i="64" s="1"/>
  <c r="AJ39" i="64"/>
  <c r="AI39" i="64"/>
  <c r="AI36" i="64" s="1"/>
  <c r="AF39" i="64"/>
  <c r="AF77" i="64" s="1"/>
  <c r="AC39" i="64"/>
  <c r="AA39" i="64"/>
  <c r="W39" i="64"/>
  <c r="W77" i="64" s="1"/>
  <c r="U39" i="64"/>
  <c r="S39" i="64"/>
  <c r="S77" i="64" s="1"/>
  <c r="Q39" i="64"/>
  <c r="Q77" i="64" s="1"/>
  <c r="O39" i="64"/>
  <c r="O77" i="64" s="1"/>
  <c r="K39" i="64"/>
  <c r="K77" i="64" s="1"/>
  <c r="I39" i="64"/>
  <c r="I77" i="64" s="1"/>
  <c r="G39" i="64"/>
  <c r="G77" i="64" s="1"/>
  <c r="AJ38" i="64"/>
  <c r="AJ36" i="64" s="1"/>
  <c r="AI38" i="64"/>
  <c r="AF38" i="64"/>
  <c r="AE38" i="64" s="1"/>
  <c r="AC38" i="64"/>
  <c r="AA38" i="64"/>
  <c r="W38" i="64"/>
  <c r="V38" i="64"/>
  <c r="V36" i="64" s="1"/>
  <c r="U38" i="64"/>
  <c r="S38" i="64"/>
  <c r="Q38" i="64"/>
  <c r="O38" i="64"/>
  <c r="M38" i="64"/>
  <c r="K38" i="64"/>
  <c r="K36" i="64" s="1"/>
  <c r="I38" i="64"/>
  <c r="G38" i="64"/>
  <c r="AP36" i="64"/>
  <c r="AO36" i="64"/>
  <c r="AR36" i="64" s="1"/>
  <c r="AG36" i="64"/>
  <c r="AB36" i="64"/>
  <c r="Z36" i="64"/>
  <c r="Y36" i="64"/>
  <c r="X36" i="64"/>
  <c r="T36" i="64"/>
  <c r="S36" i="64"/>
  <c r="R36" i="64"/>
  <c r="P36" i="64"/>
  <c r="N36" i="64"/>
  <c r="M36" i="64"/>
  <c r="L36" i="64"/>
  <c r="J36" i="64"/>
  <c r="H36" i="64"/>
  <c r="F36" i="64"/>
  <c r="E36" i="64"/>
  <c r="D36" i="64"/>
  <c r="AI34" i="64"/>
  <c r="AI32" i="64"/>
  <c r="AI29" i="64" s="1"/>
  <c r="AI31" i="64"/>
  <c r="AP29" i="64"/>
  <c r="AO29" i="64"/>
  <c r="AR29" i="64" s="1"/>
  <c r="AN29" i="64"/>
  <c r="AL29" i="64"/>
  <c r="AJ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9" i="64"/>
  <c r="AJ28" i="64"/>
  <c r="AJ80" i="64" s="1"/>
  <c r="AI28" i="64"/>
  <c r="AI80" i="64" s="1"/>
  <c r="AE28" i="64"/>
  <c r="AE80" i="64" s="1"/>
  <c r="AC28" i="64"/>
  <c r="AC80" i="64" s="1"/>
  <c r="AA28" i="64"/>
  <c r="AA80" i="64" s="1"/>
  <c r="AK27" i="64"/>
  <c r="AK79" i="64" s="1"/>
  <c r="AI27" i="64"/>
  <c r="AG27" i="64"/>
  <c r="AG79" i="64" s="1"/>
  <c r="AE27" i="64"/>
  <c r="X27" i="64"/>
  <c r="X79" i="64" s="1"/>
  <c r="W27" i="64"/>
  <c r="V27" i="64"/>
  <c r="V79" i="64" s="1"/>
  <c r="U27" i="64"/>
  <c r="U79" i="64" s="1"/>
  <c r="T27" i="64"/>
  <c r="T79" i="64" s="1"/>
  <c r="S27" i="64"/>
  <c r="S79" i="64" s="1"/>
  <c r="R27" i="64"/>
  <c r="R79" i="64" s="1"/>
  <c r="Q27" i="64"/>
  <c r="Q79" i="64" s="1"/>
  <c r="P27" i="64"/>
  <c r="P22" i="64" s="1"/>
  <c r="O27" i="64"/>
  <c r="O79" i="64" s="1"/>
  <c r="N27" i="64"/>
  <c r="N79" i="64" s="1"/>
  <c r="M27" i="64"/>
  <c r="L27" i="64"/>
  <c r="L22" i="64" s="1"/>
  <c r="K27" i="64"/>
  <c r="J27" i="64"/>
  <c r="J22" i="64" s="1"/>
  <c r="I27" i="64"/>
  <c r="H27" i="64"/>
  <c r="H79" i="64" s="1"/>
  <c r="G27" i="64"/>
  <c r="G79" i="64" s="1"/>
  <c r="AJ26" i="64"/>
  <c r="AI26" i="64"/>
  <c r="AG26" i="64"/>
  <c r="AG22" i="64" s="1"/>
  <c r="AE26" i="64"/>
  <c r="AC26" i="64"/>
  <c r="AA26" i="64"/>
  <c r="AA78" i="64" s="1"/>
  <c r="AJ25" i="64"/>
  <c r="AJ77" i="64" s="1"/>
  <c r="AI25" i="64"/>
  <c r="AE25" i="64"/>
  <c r="AC25" i="64"/>
  <c r="AA25" i="64"/>
  <c r="AA22" i="64" s="1"/>
  <c r="AJ24" i="64"/>
  <c r="AI24" i="64"/>
  <c r="AI22" i="64" s="1"/>
  <c r="AG24" i="64"/>
  <c r="AE24" i="64"/>
  <c r="AE22" i="64" s="1"/>
  <c r="AC24" i="64"/>
  <c r="AA24" i="64"/>
  <c r="X24" i="64"/>
  <c r="W24" i="64"/>
  <c r="W76" i="64" s="1"/>
  <c r="V24" i="64"/>
  <c r="U24" i="64"/>
  <c r="S24" i="64"/>
  <c r="R24" i="64"/>
  <c r="R22" i="64" s="1"/>
  <c r="Q24" i="64"/>
  <c r="Q22" i="64" s="1"/>
  <c r="F24" i="64"/>
  <c r="F76" i="64" s="1"/>
  <c r="AP22" i="64"/>
  <c r="AL22" i="64"/>
  <c r="AH22" i="64"/>
  <c r="AF22" i="64"/>
  <c r="AD22" i="64"/>
  <c r="AB22" i="64"/>
  <c r="Z22" i="64"/>
  <c r="Y22" i="64"/>
  <c r="S22" i="64"/>
  <c r="K22" i="64"/>
  <c r="G22" i="64"/>
  <c r="E22" i="64"/>
  <c r="AI17" i="64"/>
  <c r="AI15" i="64" s="1"/>
  <c r="AG17" i="64"/>
  <c r="AG15" i="64" s="1"/>
  <c r="AE17" i="64"/>
  <c r="AC17" i="64"/>
  <c r="S17" i="64"/>
  <c r="AP15" i="64"/>
  <c r="AO15" i="64"/>
  <c r="AR15" i="64" s="1"/>
  <c r="AN15" i="64"/>
  <c r="AL15" i="64"/>
  <c r="AJ15" i="64"/>
  <c r="AH15" i="64"/>
  <c r="AF15" i="64"/>
  <c r="AE15" i="64"/>
  <c r="AD15" i="64"/>
  <c r="AB15" i="64"/>
  <c r="AA15" i="64"/>
  <c r="Z15" i="64"/>
  <c r="Y15" i="64"/>
  <c r="X15" i="64"/>
  <c r="W15" i="64"/>
  <c r="V15" i="64"/>
  <c r="U15" i="64"/>
  <c r="T15" i="64"/>
  <c r="R15" i="64"/>
  <c r="Q15" i="64"/>
  <c r="P15" i="64"/>
  <c r="O15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C75" i="64" s="1"/>
  <c r="C82" i="64" s="1"/>
  <c r="C85" i="64" s="1"/>
  <c r="F14" i="64"/>
  <c r="F80" i="64" s="1"/>
  <c r="AI12" i="64"/>
  <c r="AI78" i="64" s="1"/>
  <c r="AE12" i="64"/>
  <c r="AI11" i="64"/>
  <c r="AE11" i="64"/>
  <c r="AI10" i="64"/>
  <c r="AG10" i="64"/>
  <c r="AF10" i="64"/>
  <c r="AF76" i="64" s="1"/>
  <c r="O10" i="64"/>
  <c r="M10" i="64"/>
  <c r="M76" i="64" s="1"/>
  <c r="K10" i="64"/>
  <c r="I10" i="64"/>
  <c r="I8" i="64" s="1"/>
  <c r="G10" i="64"/>
  <c r="AP8" i="64"/>
  <c r="AO8" i="64"/>
  <c r="AN8" i="64"/>
  <c r="AH8" i="64"/>
  <c r="AG8" i="64"/>
  <c r="AD8" i="64"/>
  <c r="AC8" i="64"/>
  <c r="AB8" i="64"/>
  <c r="AA8" i="64"/>
  <c r="Z8" i="64"/>
  <c r="Y8" i="64"/>
  <c r="X8" i="64"/>
  <c r="W8" i="64"/>
  <c r="V8" i="64"/>
  <c r="U8" i="64"/>
  <c r="T8" i="64"/>
  <c r="S8" i="64"/>
  <c r="R8" i="64"/>
  <c r="Q8" i="64"/>
  <c r="P8" i="64"/>
  <c r="O8" i="64"/>
  <c r="N8" i="64"/>
  <c r="L8" i="64"/>
  <c r="J8" i="64"/>
  <c r="H8" i="64"/>
  <c r="G8" i="64"/>
  <c r="F8" i="64"/>
  <c r="E8" i="64"/>
  <c r="AM47" i="63"/>
  <c r="AM46" i="63"/>
  <c r="AM45" i="63"/>
  <c r="AO27" i="63"/>
  <c r="AO22" i="63" s="1"/>
  <c r="AN26" i="63"/>
  <c r="AN25" i="63"/>
  <c r="AN24" i="63"/>
  <c r="AM27" i="63"/>
  <c r="AM26" i="63"/>
  <c r="AM25" i="63"/>
  <c r="AM24" i="63"/>
  <c r="AM13" i="63"/>
  <c r="AM11" i="63"/>
  <c r="AM10" i="63"/>
  <c r="AN40" i="63"/>
  <c r="AN39" i="63"/>
  <c r="AN38" i="63"/>
  <c r="AM42" i="63"/>
  <c r="AM80" i="63" s="1"/>
  <c r="AM40" i="63"/>
  <c r="AM39" i="63"/>
  <c r="AM38" i="63"/>
  <c r="AM34" i="63"/>
  <c r="AM32" i="63"/>
  <c r="AM31" i="63"/>
  <c r="AM17" i="63"/>
  <c r="AM15" i="63" s="1"/>
  <c r="AQ15" i="63" s="1"/>
  <c r="AP80" i="63"/>
  <c r="AO80" i="63"/>
  <c r="AN80" i="63"/>
  <c r="AL80" i="63"/>
  <c r="AK80" i="63"/>
  <c r="AH80" i="63"/>
  <c r="AG80" i="63"/>
  <c r="AF80" i="63"/>
  <c r="AD80" i="63"/>
  <c r="AB80" i="63"/>
  <c r="Z80" i="63"/>
  <c r="Y80" i="63"/>
  <c r="X80" i="63"/>
  <c r="W80" i="63"/>
  <c r="V80" i="63"/>
  <c r="U80" i="63"/>
  <c r="T80" i="63"/>
  <c r="S80" i="63"/>
  <c r="R80" i="63"/>
  <c r="Q80" i="63"/>
  <c r="P80" i="63"/>
  <c r="O80" i="63"/>
  <c r="N80" i="63"/>
  <c r="M80" i="63"/>
  <c r="L80" i="63"/>
  <c r="K80" i="63"/>
  <c r="J80" i="63"/>
  <c r="H80" i="63"/>
  <c r="E80" i="63"/>
  <c r="D80" i="63"/>
  <c r="C80" i="63"/>
  <c r="AP79" i="63"/>
  <c r="AN79" i="63"/>
  <c r="AL79" i="63"/>
  <c r="AJ79" i="63"/>
  <c r="AH79" i="63"/>
  <c r="AF79" i="63"/>
  <c r="AD79" i="63"/>
  <c r="AB79" i="63"/>
  <c r="Z79" i="63"/>
  <c r="Y79" i="63"/>
  <c r="F79" i="63"/>
  <c r="E79" i="63"/>
  <c r="D79" i="63"/>
  <c r="C79" i="63"/>
  <c r="AP78" i="63"/>
  <c r="AO78" i="63"/>
  <c r="AL78" i="63"/>
  <c r="AK78" i="63"/>
  <c r="AB78" i="63"/>
  <c r="Z78" i="63"/>
  <c r="Y78" i="63"/>
  <c r="X78" i="63"/>
  <c r="V78" i="63"/>
  <c r="T78" i="63"/>
  <c r="R78" i="63"/>
  <c r="P78" i="63"/>
  <c r="N78" i="63"/>
  <c r="M78" i="63"/>
  <c r="L78" i="63"/>
  <c r="J78" i="63"/>
  <c r="H78" i="63"/>
  <c r="F78" i="63"/>
  <c r="E78" i="63"/>
  <c r="D78" i="63"/>
  <c r="C78" i="63"/>
  <c r="AP77" i="63"/>
  <c r="AO77" i="63"/>
  <c r="AL77" i="63"/>
  <c r="AK77" i="63"/>
  <c r="AH77" i="63"/>
  <c r="AG77" i="63"/>
  <c r="AD77" i="63"/>
  <c r="AB77" i="63"/>
  <c r="Z77" i="63"/>
  <c r="Y77" i="63"/>
  <c r="X77" i="63"/>
  <c r="V77" i="63"/>
  <c r="T77" i="63"/>
  <c r="R77" i="63"/>
  <c r="P77" i="63"/>
  <c r="N77" i="63"/>
  <c r="M77" i="63"/>
  <c r="L77" i="63"/>
  <c r="J77" i="63"/>
  <c r="H77" i="63"/>
  <c r="F77" i="63"/>
  <c r="E77" i="63"/>
  <c r="D77" i="63"/>
  <c r="C77" i="63"/>
  <c r="AP76" i="63"/>
  <c r="AO76" i="63"/>
  <c r="AL76" i="63"/>
  <c r="AK76" i="63"/>
  <c r="AH76" i="63"/>
  <c r="Y76" i="63"/>
  <c r="E76" i="63"/>
  <c r="D76" i="63"/>
  <c r="C76" i="63"/>
  <c r="D73" i="63"/>
  <c r="C73" i="63"/>
  <c r="Z71" i="63"/>
  <c r="Y71" i="63"/>
  <c r="X71" i="63"/>
  <c r="W71" i="63"/>
  <c r="V71" i="63"/>
  <c r="U71" i="63"/>
  <c r="T71" i="63"/>
  <c r="S71" i="63"/>
  <c r="R71" i="63"/>
  <c r="Q71" i="63"/>
  <c r="P71" i="63"/>
  <c r="O71" i="63"/>
  <c r="N71" i="63"/>
  <c r="M71" i="63"/>
  <c r="L71" i="63"/>
  <c r="K71" i="63"/>
  <c r="J71" i="63"/>
  <c r="I71" i="63"/>
  <c r="H71" i="63"/>
  <c r="G71" i="63"/>
  <c r="F71" i="63"/>
  <c r="E71" i="63"/>
  <c r="AP64" i="63"/>
  <c r="AO64" i="63"/>
  <c r="AR64" i="63" s="1"/>
  <c r="AN64" i="63"/>
  <c r="AM64" i="63"/>
  <c r="AL64" i="63"/>
  <c r="AJ64" i="63"/>
  <c r="AI64" i="63"/>
  <c r="AH64" i="63"/>
  <c r="AG64" i="63"/>
  <c r="AF64" i="63"/>
  <c r="AE64" i="63"/>
  <c r="AD64" i="63"/>
  <c r="AC64" i="63"/>
  <c r="AB64" i="63"/>
  <c r="AA64" i="63"/>
  <c r="Z64" i="63"/>
  <c r="Y64" i="63"/>
  <c r="X64" i="63"/>
  <c r="W64" i="63"/>
  <c r="V64" i="63"/>
  <c r="U64" i="63"/>
  <c r="T64" i="63"/>
  <c r="S64" i="63"/>
  <c r="R64" i="63"/>
  <c r="Q64" i="63"/>
  <c r="P64" i="63"/>
  <c r="O64" i="63"/>
  <c r="N64" i="63"/>
  <c r="M64" i="63"/>
  <c r="L64" i="63"/>
  <c r="K64" i="63"/>
  <c r="J64" i="63"/>
  <c r="I64" i="63"/>
  <c r="H64" i="63"/>
  <c r="G64" i="63"/>
  <c r="F64" i="63"/>
  <c r="E64" i="63"/>
  <c r="D64" i="63"/>
  <c r="I63" i="63"/>
  <c r="I80" i="63" s="1"/>
  <c r="G63" i="63"/>
  <c r="G80" i="63" s="1"/>
  <c r="AA62" i="63"/>
  <c r="AC61" i="63"/>
  <c r="AE60" i="63"/>
  <c r="AE57" i="63" s="1"/>
  <c r="AC60" i="63"/>
  <c r="AA60" i="63"/>
  <c r="AD59" i="63"/>
  <c r="AD57" i="63" s="1"/>
  <c r="AC59" i="63"/>
  <c r="AB59" i="63"/>
  <c r="AB76" i="63" s="1"/>
  <c r="AA59" i="63"/>
  <c r="X59" i="63"/>
  <c r="W59" i="63"/>
  <c r="W57" i="63" s="1"/>
  <c r="V59" i="63"/>
  <c r="U59" i="63"/>
  <c r="U57" i="63" s="1"/>
  <c r="T59" i="63"/>
  <c r="T76" i="63" s="1"/>
  <c r="S59" i="63"/>
  <c r="S57" i="63" s="1"/>
  <c r="P59" i="63"/>
  <c r="P57" i="63" s="1"/>
  <c r="O59" i="63"/>
  <c r="O57" i="63" s="1"/>
  <c r="L59" i="63"/>
  <c r="L76" i="63" s="1"/>
  <c r="K59" i="63"/>
  <c r="J59" i="63"/>
  <c r="J76" i="63" s="1"/>
  <c r="I59" i="63"/>
  <c r="H59" i="63"/>
  <c r="H57" i="63" s="1"/>
  <c r="G59" i="63"/>
  <c r="F59" i="63"/>
  <c r="F57" i="63" s="1"/>
  <c r="AP57" i="63"/>
  <c r="AO57" i="63"/>
  <c r="AR57" i="63" s="1"/>
  <c r="AN57" i="63"/>
  <c r="AM57" i="63"/>
  <c r="AI57" i="63"/>
  <c r="AH57" i="63"/>
  <c r="AG57" i="63"/>
  <c r="AF57" i="63"/>
  <c r="AC57" i="63"/>
  <c r="Z57" i="63"/>
  <c r="Y57" i="63"/>
  <c r="X57" i="63"/>
  <c r="V57" i="63"/>
  <c r="R57" i="63"/>
  <c r="Q57" i="63"/>
  <c r="N57" i="63"/>
  <c r="M57" i="63"/>
  <c r="L57" i="63"/>
  <c r="K57" i="63"/>
  <c r="J57" i="63"/>
  <c r="I57" i="63"/>
  <c r="E57" i="63"/>
  <c r="D57" i="63"/>
  <c r="Z50" i="63"/>
  <c r="Y50" i="63"/>
  <c r="X50" i="63"/>
  <c r="W50" i="63"/>
  <c r="V50" i="63"/>
  <c r="U50" i="63"/>
  <c r="T50" i="63"/>
  <c r="S50" i="63"/>
  <c r="R50" i="63"/>
  <c r="Q50" i="63"/>
  <c r="P50" i="63"/>
  <c r="O50" i="63"/>
  <c r="N50" i="63"/>
  <c r="M50" i="63"/>
  <c r="L50" i="63"/>
  <c r="K50" i="63"/>
  <c r="J50" i="63"/>
  <c r="I50" i="63"/>
  <c r="H50" i="63"/>
  <c r="G50" i="63"/>
  <c r="F50" i="63"/>
  <c r="E50" i="63"/>
  <c r="D50" i="63"/>
  <c r="AG48" i="63"/>
  <c r="AG43" i="63" s="1"/>
  <c r="AE48" i="63"/>
  <c r="AC48" i="63"/>
  <c r="AC79" i="63" s="1"/>
  <c r="AA48" i="63"/>
  <c r="AA79" i="63" s="1"/>
  <c r="W48" i="63"/>
  <c r="Q48" i="63"/>
  <c r="Q43" i="63" s="1"/>
  <c r="P48" i="63"/>
  <c r="O48" i="63"/>
  <c r="L48" i="63"/>
  <c r="L43" i="63" s="1"/>
  <c r="K48" i="63"/>
  <c r="J48" i="63"/>
  <c r="I48" i="63"/>
  <c r="I43" i="63" s="1"/>
  <c r="H48" i="63"/>
  <c r="H43" i="63" s="1"/>
  <c r="G48" i="63"/>
  <c r="AI47" i="63"/>
  <c r="AG47" i="63"/>
  <c r="AE47" i="63"/>
  <c r="AC47" i="63"/>
  <c r="AA47" i="63"/>
  <c r="AI46" i="63"/>
  <c r="AE46" i="63"/>
  <c r="AC46" i="63"/>
  <c r="AA46" i="63"/>
  <c r="AI45" i="63"/>
  <c r="AE45" i="63"/>
  <c r="AE43" i="63" s="1"/>
  <c r="AC45" i="63"/>
  <c r="AA45" i="63"/>
  <c r="Z45" i="63"/>
  <c r="Z76" i="63" s="1"/>
  <c r="W45" i="63"/>
  <c r="U45" i="63"/>
  <c r="S45" i="63"/>
  <c r="S43" i="63" s="1"/>
  <c r="P45" i="63"/>
  <c r="O45" i="63"/>
  <c r="O43" i="63" s="1"/>
  <c r="N45" i="63"/>
  <c r="N43" i="63" s="1"/>
  <c r="M45" i="63"/>
  <c r="M43" i="63" s="1"/>
  <c r="K45" i="63"/>
  <c r="K43" i="63" s="1"/>
  <c r="I45" i="63"/>
  <c r="H45" i="63"/>
  <c r="G45" i="63"/>
  <c r="AP43" i="63"/>
  <c r="AO43" i="63"/>
  <c r="AN43" i="63"/>
  <c r="AK43" i="63"/>
  <c r="AI43" i="63"/>
  <c r="AH43" i="63"/>
  <c r="AF43" i="63"/>
  <c r="AD43" i="63"/>
  <c r="AC43" i="63"/>
  <c r="AB43" i="63"/>
  <c r="AA43" i="63"/>
  <c r="Y43" i="63"/>
  <c r="X43" i="63"/>
  <c r="W43" i="63"/>
  <c r="V43" i="63"/>
  <c r="U43" i="63"/>
  <c r="T43" i="63"/>
  <c r="R43" i="63"/>
  <c r="J43" i="63"/>
  <c r="F43" i="63"/>
  <c r="E43" i="63"/>
  <c r="AI42" i="63"/>
  <c r="AE42" i="63"/>
  <c r="AC42" i="63"/>
  <c r="AI41" i="63"/>
  <c r="AE41" i="63"/>
  <c r="W41" i="63"/>
  <c r="O41" i="63"/>
  <c r="AJ40" i="63"/>
  <c r="AI40" i="63"/>
  <c r="AH40" i="63"/>
  <c r="AH78" i="63" s="1"/>
  <c r="AF40" i="63"/>
  <c r="AF78" i="63" s="1"/>
  <c r="AD40" i="63"/>
  <c r="AD78" i="63" s="1"/>
  <c r="AC40" i="63"/>
  <c r="AA40" i="63"/>
  <c r="W40" i="63"/>
  <c r="W78" i="63" s="1"/>
  <c r="U40" i="63"/>
  <c r="U78" i="63" s="1"/>
  <c r="S40" i="63"/>
  <c r="S78" i="63" s="1"/>
  <c r="Q40" i="63"/>
  <c r="Q78" i="63" s="1"/>
  <c r="O40" i="63"/>
  <c r="O78" i="63" s="1"/>
  <c r="K40" i="63"/>
  <c r="K78" i="63" s="1"/>
  <c r="I40" i="63"/>
  <c r="I78" i="63" s="1"/>
  <c r="G40" i="63"/>
  <c r="G78" i="63" s="1"/>
  <c r="AJ39" i="63"/>
  <c r="AI39" i="63"/>
  <c r="AF39" i="63"/>
  <c r="AF77" i="63" s="1"/>
  <c r="AC39" i="63"/>
  <c r="AA39" i="63"/>
  <c r="W39" i="63"/>
  <c r="W77" i="63" s="1"/>
  <c r="U39" i="63"/>
  <c r="U77" i="63" s="1"/>
  <c r="S39" i="63"/>
  <c r="S77" i="63" s="1"/>
  <c r="Q39" i="63"/>
  <c r="Q77" i="63" s="1"/>
  <c r="O39" i="63"/>
  <c r="O77" i="63" s="1"/>
  <c r="K39" i="63"/>
  <c r="K77" i="63" s="1"/>
  <c r="I39" i="63"/>
  <c r="I77" i="63" s="1"/>
  <c r="G39" i="63"/>
  <c r="G77" i="63" s="1"/>
  <c r="AM36" i="63"/>
  <c r="AJ38" i="63"/>
  <c r="AJ36" i="63" s="1"/>
  <c r="AI38" i="63"/>
  <c r="AF38" i="63"/>
  <c r="AE38" i="63" s="1"/>
  <c r="AC38" i="63"/>
  <c r="AA38" i="63"/>
  <c r="W38" i="63"/>
  <c r="W36" i="63" s="1"/>
  <c r="V38" i="63"/>
  <c r="V36" i="63" s="1"/>
  <c r="U38" i="63"/>
  <c r="U36" i="63" s="1"/>
  <c r="S38" i="63"/>
  <c r="Q38" i="63"/>
  <c r="O38" i="63"/>
  <c r="M38" i="63"/>
  <c r="M36" i="63" s="1"/>
  <c r="K38" i="63"/>
  <c r="I38" i="63"/>
  <c r="I36" i="63" s="1"/>
  <c r="G38" i="63"/>
  <c r="AP36" i="63"/>
  <c r="AO36" i="63"/>
  <c r="AR36" i="63" s="1"/>
  <c r="AG36" i="63"/>
  <c r="AB36" i="63"/>
  <c r="Z36" i="63"/>
  <c r="Y36" i="63"/>
  <c r="X36" i="63"/>
  <c r="T36" i="63"/>
  <c r="R36" i="63"/>
  <c r="P36" i="63"/>
  <c r="N36" i="63"/>
  <c r="L36" i="63"/>
  <c r="K36" i="63"/>
  <c r="J36" i="63"/>
  <c r="H36" i="63"/>
  <c r="F36" i="63"/>
  <c r="E36" i="63"/>
  <c r="D36" i="63"/>
  <c r="AI34" i="63"/>
  <c r="AI32" i="63"/>
  <c r="AI31" i="63"/>
  <c r="AP29" i="63"/>
  <c r="AO29" i="63"/>
  <c r="AR29" i="63" s="1"/>
  <c r="AN29" i="63"/>
  <c r="AL29" i="63"/>
  <c r="AJ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9" i="63"/>
  <c r="AJ28" i="63"/>
  <c r="AJ80" i="63" s="1"/>
  <c r="AI28" i="63"/>
  <c r="AE28" i="63"/>
  <c r="AC28" i="63"/>
  <c r="AA28" i="63"/>
  <c r="AA80" i="63" s="1"/>
  <c r="AK27" i="63"/>
  <c r="AK79" i="63" s="1"/>
  <c r="AI27" i="63"/>
  <c r="AG27" i="63"/>
  <c r="AG79" i="63" s="1"/>
  <c r="AE27" i="63"/>
  <c r="AE79" i="63" s="1"/>
  <c r="X27" i="63"/>
  <c r="W27" i="63"/>
  <c r="W79" i="63" s="1"/>
  <c r="V27" i="63"/>
  <c r="U27" i="63"/>
  <c r="U79" i="63" s="1"/>
  <c r="T27" i="63"/>
  <c r="T22" i="63" s="1"/>
  <c r="S27" i="63"/>
  <c r="S79" i="63" s="1"/>
  <c r="R27" i="63"/>
  <c r="R79" i="63" s="1"/>
  <c r="Q27" i="63"/>
  <c r="Q79" i="63" s="1"/>
  <c r="P27" i="63"/>
  <c r="P22" i="63" s="1"/>
  <c r="O27" i="63"/>
  <c r="O79" i="63" s="1"/>
  <c r="N27" i="63"/>
  <c r="N79" i="63" s="1"/>
  <c r="M27" i="63"/>
  <c r="M79" i="63" s="1"/>
  <c r="L27" i="63"/>
  <c r="L22" i="63" s="1"/>
  <c r="K27" i="63"/>
  <c r="K79" i="63" s="1"/>
  <c r="J27" i="63"/>
  <c r="J22" i="63" s="1"/>
  <c r="I27" i="63"/>
  <c r="H27" i="63"/>
  <c r="H22" i="63" s="1"/>
  <c r="G27" i="63"/>
  <c r="G79" i="63" s="1"/>
  <c r="AJ26" i="63"/>
  <c r="AJ78" i="63" s="1"/>
  <c r="AI26" i="63"/>
  <c r="AG26" i="63"/>
  <c r="AE26" i="63"/>
  <c r="AC26" i="63"/>
  <c r="AC22" i="63" s="1"/>
  <c r="AA26" i="63"/>
  <c r="AA78" i="63" s="1"/>
  <c r="AJ25" i="63"/>
  <c r="AJ77" i="63" s="1"/>
  <c r="AI25" i="63"/>
  <c r="AE25" i="63"/>
  <c r="AC25" i="63"/>
  <c r="AA25" i="63"/>
  <c r="AJ24" i="63"/>
  <c r="AI24" i="63"/>
  <c r="AG24" i="63"/>
  <c r="AE24" i="63"/>
  <c r="AC24" i="63"/>
  <c r="AA24" i="63"/>
  <c r="AA22" i="63" s="1"/>
  <c r="X24" i="63"/>
  <c r="X76" i="63" s="1"/>
  <c r="W24" i="63"/>
  <c r="V24" i="63"/>
  <c r="V76" i="63" s="1"/>
  <c r="U24" i="63"/>
  <c r="U22" i="63" s="1"/>
  <c r="S24" i="63"/>
  <c r="R24" i="63"/>
  <c r="R76" i="63" s="1"/>
  <c r="Q24" i="63"/>
  <c r="Q76" i="63" s="1"/>
  <c r="F24" i="63"/>
  <c r="F76" i="63" s="1"/>
  <c r="AP22" i="63"/>
  <c r="AL22" i="63"/>
  <c r="AK22" i="63"/>
  <c r="AK75" i="63" s="1"/>
  <c r="AK82" i="63" s="1"/>
  <c r="AH22" i="63"/>
  <c r="AF22" i="63"/>
  <c r="AE22" i="63"/>
  <c r="AD22" i="63"/>
  <c r="AB22" i="63"/>
  <c r="Z22" i="63"/>
  <c r="Y22" i="63"/>
  <c r="Q22" i="63"/>
  <c r="M22" i="63"/>
  <c r="I22" i="63"/>
  <c r="F22" i="63"/>
  <c r="E22" i="63"/>
  <c r="AI17" i="63"/>
  <c r="AI15" i="63" s="1"/>
  <c r="AG17" i="63"/>
  <c r="AG15" i="63" s="1"/>
  <c r="AE17" i="63"/>
  <c r="AE15" i="63" s="1"/>
  <c r="AC17" i="63"/>
  <c r="AC15" i="63" s="1"/>
  <c r="S17" i="63"/>
  <c r="S76" i="63" s="1"/>
  <c r="AP15" i="63"/>
  <c r="AO15" i="63"/>
  <c r="AR15" i="63" s="1"/>
  <c r="AN15" i="63"/>
  <c r="AL15" i="63"/>
  <c r="AJ15" i="63"/>
  <c r="AH15" i="63"/>
  <c r="AF15" i="63"/>
  <c r="AD15" i="63"/>
  <c r="AB15" i="63"/>
  <c r="AA15" i="63"/>
  <c r="Z15" i="63"/>
  <c r="Y15" i="63"/>
  <c r="X15" i="63"/>
  <c r="W15" i="63"/>
  <c r="V15" i="63"/>
  <c r="U15" i="63"/>
  <c r="T15" i="63"/>
  <c r="R15" i="63"/>
  <c r="Q15" i="63"/>
  <c r="P15" i="63"/>
  <c r="O15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C75" i="63" s="1"/>
  <c r="C82" i="63" s="1"/>
  <c r="C85" i="63" s="1"/>
  <c r="F14" i="63"/>
  <c r="F8" i="63" s="1"/>
  <c r="AI12" i="63"/>
  <c r="AI78" i="63" s="1"/>
  <c r="AE12" i="63"/>
  <c r="AI11" i="63"/>
  <c r="AI77" i="63" s="1"/>
  <c r="AE11" i="63"/>
  <c r="AI10" i="63"/>
  <c r="AG10" i="63"/>
  <c r="AF10" i="63"/>
  <c r="AE10" i="63" s="1"/>
  <c r="O10" i="63"/>
  <c r="O8" i="63" s="1"/>
  <c r="M10" i="63"/>
  <c r="M76" i="63" s="1"/>
  <c r="K10" i="63"/>
  <c r="I10" i="63"/>
  <c r="I76" i="63" s="1"/>
  <c r="G10" i="63"/>
  <c r="AP8" i="63"/>
  <c r="AO8" i="63"/>
  <c r="AR8" i="63" s="1"/>
  <c r="AN8" i="63"/>
  <c r="AH8" i="63"/>
  <c r="AG8" i="63"/>
  <c r="AF8" i="63"/>
  <c r="AD8" i="63"/>
  <c r="AC8" i="63"/>
  <c r="AB8" i="63"/>
  <c r="AA8" i="63"/>
  <c r="Z8" i="63"/>
  <c r="Y8" i="63"/>
  <c r="Y75" i="63" s="1"/>
  <c r="Y82" i="63" s="1"/>
  <c r="X8" i="63"/>
  <c r="W8" i="63"/>
  <c r="V8" i="63"/>
  <c r="U8" i="63"/>
  <c r="T8" i="63"/>
  <c r="S8" i="63"/>
  <c r="R8" i="63"/>
  <c r="Q8" i="63"/>
  <c r="P8" i="63"/>
  <c r="N8" i="63"/>
  <c r="M8" i="63"/>
  <c r="L8" i="63"/>
  <c r="J8" i="63"/>
  <c r="H8" i="63"/>
  <c r="G8" i="63"/>
  <c r="E8" i="63"/>
  <c r="AN40" i="62"/>
  <c r="AN39" i="62"/>
  <c r="AN38" i="62"/>
  <c r="AM39" i="62"/>
  <c r="AM40" i="62"/>
  <c r="AM38" i="62"/>
  <c r="AO27" i="62"/>
  <c r="AO22" i="62" s="1"/>
  <c r="AN26" i="62"/>
  <c r="AN25" i="62"/>
  <c r="AN24" i="62"/>
  <c r="AM27" i="62"/>
  <c r="AM26" i="62"/>
  <c r="AM25" i="62"/>
  <c r="AM24" i="62"/>
  <c r="AM17" i="62"/>
  <c r="AM34" i="62"/>
  <c r="AM32" i="62"/>
  <c r="AM31" i="62"/>
  <c r="AM47" i="62"/>
  <c r="AM46" i="62"/>
  <c r="AM45" i="62"/>
  <c r="S22" i="63" l="1"/>
  <c r="I79" i="63"/>
  <c r="AF36" i="63"/>
  <c r="T57" i="63"/>
  <c r="AA76" i="64"/>
  <c r="G36" i="64"/>
  <c r="P43" i="64"/>
  <c r="P75" i="64" s="1"/>
  <c r="P82" i="64" s="1"/>
  <c r="AI43" i="64"/>
  <c r="AA36" i="65"/>
  <c r="N43" i="65"/>
  <c r="P43" i="65"/>
  <c r="N22" i="66"/>
  <c r="I36" i="66"/>
  <c r="AC80" i="66"/>
  <c r="I94" i="67"/>
  <c r="J93" i="68"/>
  <c r="J100" i="68" s="1"/>
  <c r="W40" i="68"/>
  <c r="AA96" i="69"/>
  <c r="AI97" i="70"/>
  <c r="AE94" i="71"/>
  <c r="AC36" i="63"/>
  <c r="AC75" i="63" s="1"/>
  <c r="AC82" i="63" s="1"/>
  <c r="F80" i="63"/>
  <c r="AJ22" i="65"/>
  <c r="AE22" i="65"/>
  <c r="J75" i="65"/>
  <c r="J82" i="65" s="1"/>
  <c r="AG79" i="65"/>
  <c r="O22" i="66"/>
  <c r="AA78" i="66"/>
  <c r="K36" i="66"/>
  <c r="AA36" i="66"/>
  <c r="Z43" i="66"/>
  <c r="AR43" i="66"/>
  <c r="K8" i="68"/>
  <c r="AI95" i="68"/>
  <c r="G40" i="68"/>
  <c r="O40" i="68"/>
  <c r="AE97" i="68"/>
  <c r="AI54" i="68"/>
  <c r="F93" i="69"/>
  <c r="F100" i="69" s="1"/>
  <c r="AH93" i="69"/>
  <c r="AH100" i="69" s="1"/>
  <c r="AI40" i="69"/>
  <c r="G75" i="69"/>
  <c r="AB93" i="70"/>
  <c r="AB100" i="70" s="1"/>
  <c r="D93" i="70"/>
  <c r="D100" i="70" s="1"/>
  <c r="D103" i="70" s="1"/>
  <c r="AC95" i="70"/>
  <c r="AJ22" i="63"/>
  <c r="AJ75" i="63" s="1"/>
  <c r="AJ82" i="63" s="1"/>
  <c r="AI79" i="63"/>
  <c r="AH36" i="63"/>
  <c r="AA36" i="64"/>
  <c r="AC77" i="64"/>
  <c r="X22" i="65"/>
  <c r="X75" i="65" s="1"/>
  <c r="X82" i="65" s="1"/>
  <c r="AI79" i="65"/>
  <c r="AQ64" i="65"/>
  <c r="M76" i="66"/>
  <c r="AK75" i="66"/>
  <c r="AK82" i="66" s="1"/>
  <c r="J79" i="66"/>
  <c r="AI43" i="66"/>
  <c r="AI40" i="67"/>
  <c r="AM96" i="67"/>
  <c r="AD93" i="68"/>
  <c r="AD100" i="68" s="1"/>
  <c r="AI40" i="68"/>
  <c r="AC96" i="68"/>
  <c r="AJ54" i="68"/>
  <c r="H94" i="68"/>
  <c r="AI8" i="69"/>
  <c r="AJ40" i="69"/>
  <c r="AI97" i="69"/>
  <c r="AN94" i="69"/>
  <c r="L93" i="70"/>
  <c r="L100" i="70" s="1"/>
  <c r="F40" i="70"/>
  <c r="I54" i="70"/>
  <c r="W54" i="70"/>
  <c r="AE54" i="72"/>
  <c r="AE93" i="72" s="1"/>
  <c r="AE100" i="72" s="1"/>
  <c r="AH75" i="63"/>
  <c r="AH82" i="63" s="1"/>
  <c r="Q36" i="63"/>
  <c r="Q75" i="63" s="1"/>
  <c r="Q82" i="63" s="1"/>
  <c r="AI36" i="63"/>
  <c r="AA36" i="63"/>
  <c r="P43" i="63"/>
  <c r="AQ57" i="63"/>
  <c r="AP75" i="64"/>
  <c r="AP82" i="64" s="1"/>
  <c r="AI76" i="64"/>
  <c r="O22" i="64"/>
  <c r="AE79" i="64"/>
  <c r="AN36" i="64"/>
  <c r="AC77" i="65"/>
  <c r="M8" i="66"/>
  <c r="O76" i="66"/>
  <c r="AE22" i="66"/>
  <c r="AI79" i="66"/>
  <c r="I76" i="66"/>
  <c r="AM8" i="66"/>
  <c r="AC54" i="67"/>
  <c r="K97" i="68"/>
  <c r="AD75" i="68"/>
  <c r="S94" i="69"/>
  <c r="AG96" i="69"/>
  <c r="AQ75" i="69"/>
  <c r="M8" i="70"/>
  <c r="X40" i="70"/>
  <c r="X93" i="70" s="1"/>
  <c r="X100" i="70" s="1"/>
  <c r="R40" i="70"/>
  <c r="T75" i="70"/>
  <c r="T93" i="70" s="1"/>
  <c r="T100" i="70" s="1"/>
  <c r="AB75" i="70"/>
  <c r="G93" i="72"/>
  <c r="G100" i="72" s="1"/>
  <c r="AO100" i="72"/>
  <c r="AR100" i="72" s="1"/>
  <c r="AC77" i="63"/>
  <c r="AD76" i="63"/>
  <c r="AB75" i="64"/>
  <c r="AB82" i="64" s="1"/>
  <c r="AC76" i="64"/>
  <c r="U76" i="64"/>
  <c r="K43" i="64"/>
  <c r="C75" i="65"/>
  <c r="C82" i="65" s="1"/>
  <c r="C85" i="65" s="1"/>
  <c r="AA77" i="66"/>
  <c r="O36" i="66"/>
  <c r="S40" i="67"/>
  <c r="AN40" i="67"/>
  <c r="O54" i="67"/>
  <c r="E93" i="68"/>
  <c r="E100" i="68" s="1"/>
  <c r="X93" i="68"/>
  <c r="X100" i="68" s="1"/>
  <c r="AH93" i="68"/>
  <c r="AH100" i="68" s="1"/>
  <c r="O94" i="68"/>
  <c r="T75" i="68"/>
  <c r="T93" i="68" s="1"/>
  <c r="T100" i="68" s="1"/>
  <c r="I8" i="69"/>
  <c r="I93" i="69" s="1"/>
  <c r="I100" i="69" s="1"/>
  <c r="AC54" i="69"/>
  <c r="AF8" i="70"/>
  <c r="AF93" i="70" s="1"/>
  <c r="AF100" i="70" s="1"/>
  <c r="S94" i="70"/>
  <c r="AG40" i="70"/>
  <c r="G97" i="70"/>
  <c r="AH54" i="70"/>
  <c r="AH93" i="70" s="1"/>
  <c r="AH100" i="70" s="1"/>
  <c r="Z61" i="70"/>
  <c r="AR61" i="70"/>
  <c r="O61" i="70"/>
  <c r="J75" i="63"/>
  <c r="J82" i="63" s="1"/>
  <c r="AI76" i="63"/>
  <c r="H76" i="63"/>
  <c r="G43" i="63"/>
  <c r="G57" i="63"/>
  <c r="AB57" i="63"/>
  <c r="AB75" i="63" s="1"/>
  <c r="AB82" i="63" s="1"/>
  <c r="AI77" i="64"/>
  <c r="W22" i="64"/>
  <c r="K79" i="64"/>
  <c r="U36" i="64"/>
  <c r="AI22" i="65"/>
  <c r="K36" i="65"/>
  <c r="AC36" i="65"/>
  <c r="AM43" i="65"/>
  <c r="D75" i="66"/>
  <c r="D82" i="66" s="1"/>
  <c r="D85" i="66" s="1"/>
  <c r="G22" i="66"/>
  <c r="AN22" i="66"/>
  <c r="AM61" i="67"/>
  <c r="J93" i="69"/>
  <c r="J100" i="69" s="1"/>
  <c r="AI94" i="69"/>
  <c r="F94" i="69"/>
  <c r="AI47" i="69"/>
  <c r="T75" i="69"/>
  <c r="AB75" i="69"/>
  <c r="AI96" i="70"/>
  <c r="L40" i="70"/>
  <c r="AK40" i="70"/>
  <c r="AK93" i="70" s="1"/>
  <c r="AK100" i="70" s="1"/>
  <c r="U94" i="70"/>
  <c r="AE98" i="70"/>
  <c r="K54" i="70"/>
  <c r="AI61" i="70"/>
  <c r="H93" i="72"/>
  <c r="H100" i="72" s="1"/>
  <c r="M75" i="63"/>
  <c r="M82" i="63" s="1"/>
  <c r="AI22" i="63"/>
  <c r="AE80" i="63"/>
  <c r="AA57" i="63"/>
  <c r="AA75" i="63" s="1"/>
  <c r="AA82" i="63" s="1"/>
  <c r="AL75" i="64"/>
  <c r="AL82" i="64" s="1"/>
  <c r="AA77" i="64"/>
  <c r="T57" i="64"/>
  <c r="AI29" i="65"/>
  <c r="AA76" i="66"/>
  <c r="AA79" i="66"/>
  <c r="X76" i="66"/>
  <c r="C75" i="66"/>
  <c r="C82" i="66" s="1"/>
  <c r="C85" i="66" s="1"/>
  <c r="M94" i="67"/>
  <c r="AK93" i="67"/>
  <c r="AK100" i="67" s="1"/>
  <c r="W54" i="67"/>
  <c r="AG93" i="68"/>
  <c r="AG100" i="68" s="1"/>
  <c r="AJ96" i="68"/>
  <c r="AQ68" i="68"/>
  <c r="AB93" i="69"/>
  <c r="AB100" i="69" s="1"/>
  <c r="S33" i="69"/>
  <c r="S93" i="69" s="1"/>
  <c r="S100" i="69" s="1"/>
  <c r="AJ93" i="69"/>
  <c r="AJ100" i="69" s="1"/>
  <c r="AC40" i="69"/>
  <c r="O97" i="69"/>
  <c r="W97" i="69"/>
  <c r="Z61" i="69"/>
  <c r="O61" i="69"/>
  <c r="O93" i="69" s="1"/>
  <c r="O100" i="69" s="1"/>
  <c r="AE61" i="69"/>
  <c r="H93" i="70"/>
  <c r="H100" i="70" s="1"/>
  <c r="M40" i="70"/>
  <c r="V94" i="70"/>
  <c r="AJ94" i="70"/>
  <c r="Q97" i="70"/>
  <c r="Q54" i="70"/>
  <c r="AC75" i="70"/>
  <c r="AN93" i="71"/>
  <c r="AN100" i="71" s="1"/>
  <c r="AF75" i="63"/>
  <c r="AF82" i="63" s="1"/>
  <c r="AQ36" i="63"/>
  <c r="R75" i="64"/>
  <c r="R82" i="64" s="1"/>
  <c r="J75" i="64"/>
  <c r="J82" i="64" s="1"/>
  <c r="AC43" i="64"/>
  <c r="P79" i="64"/>
  <c r="I57" i="64"/>
  <c r="I75" i="64" s="1"/>
  <c r="I82" i="64" s="1"/>
  <c r="I80" i="64"/>
  <c r="AG76" i="64"/>
  <c r="U77" i="64"/>
  <c r="L79" i="64"/>
  <c r="V22" i="65"/>
  <c r="V75" i="65" s="1"/>
  <c r="V82" i="65" s="1"/>
  <c r="AF78" i="65"/>
  <c r="AE40" i="65"/>
  <c r="L79" i="65"/>
  <c r="AG76" i="66"/>
  <c r="AG8" i="66"/>
  <c r="AG75" i="66" s="1"/>
  <c r="AG82" i="66" s="1"/>
  <c r="F80" i="66"/>
  <c r="F8" i="66"/>
  <c r="AF78" i="66"/>
  <c r="AE40" i="66"/>
  <c r="AE78" i="66" s="1"/>
  <c r="V40" i="67"/>
  <c r="Q95" i="67"/>
  <c r="Q54" i="67"/>
  <c r="H94" i="67"/>
  <c r="H61" i="67"/>
  <c r="AC61" i="67"/>
  <c r="AA97" i="67"/>
  <c r="AA61" i="67"/>
  <c r="U75" i="63"/>
  <c r="U82" i="63" s="1"/>
  <c r="N76" i="63"/>
  <c r="AM78" i="63"/>
  <c r="G75" i="64"/>
  <c r="G82" i="64" s="1"/>
  <c r="AJ78" i="64"/>
  <c r="AA78" i="65"/>
  <c r="AA22" i="65"/>
  <c r="AA75" i="65" s="1"/>
  <c r="AA82" i="65" s="1"/>
  <c r="AA43" i="65"/>
  <c r="AA98" i="67"/>
  <c r="AA40" i="67"/>
  <c r="I8" i="63"/>
  <c r="I75" i="63" s="1"/>
  <c r="I82" i="63" s="1"/>
  <c r="AP75" i="63"/>
  <c r="AP82" i="63" s="1"/>
  <c r="G76" i="63"/>
  <c r="K76" i="63"/>
  <c r="O76" i="63"/>
  <c r="AG76" i="63"/>
  <c r="F75" i="63"/>
  <c r="F82" i="63" s="1"/>
  <c r="D75" i="63"/>
  <c r="D82" i="63" s="1"/>
  <c r="D85" i="63" s="1"/>
  <c r="AL75" i="63"/>
  <c r="AL82" i="63" s="1"/>
  <c r="AC76" i="63"/>
  <c r="G22" i="63"/>
  <c r="K22" i="63"/>
  <c r="O22" i="63"/>
  <c r="W22" i="63"/>
  <c r="W75" i="63" s="1"/>
  <c r="W82" i="63" s="1"/>
  <c r="U76" i="63"/>
  <c r="W76" i="63"/>
  <c r="AA76" i="63"/>
  <c r="AA77" i="63"/>
  <c r="AC78" i="63"/>
  <c r="AG22" i="63"/>
  <c r="V22" i="63"/>
  <c r="V75" i="63" s="1"/>
  <c r="V82" i="63" s="1"/>
  <c r="X22" i="63"/>
  <c r="AC80" i="63"/>
  <c r="AI80" i="63"/>
  <c r="AI29" i="63"/>
  <c r="G36" i="63"/>
  <c r="S36" i="63"/>
  <c r="AD36" i="63"/>
  <c r="AD75" i="63" s="1"/>
  <c r="AD82" i="63" s="1"/>
  <c r="AE40" i="63"/>
  <c r="AE78" i="63" s="1"/>
  <c r="Z43" i="63"/>
  <c r="Z75" i="63" s="1"/>
  <c r="Z82" i="63" s="1"/>
  <c r="AR43" i="63"/>
  <c r="AQ64" i="63"/>
  <c r="AN22" i="63"/>
  <c r="AR22" i="63"/>
  <c r="AM43" i="63"/>
  <c r="AQ43" i="63" s="1"/>
  <c r="M8" i="64"/>
  <c r="AF8" i="64"/>
  <c r="G76" i="64"/>
  <c r="K76" i="64"/>
  <c r="O76" i="64"/>
  <c r="AE78" i="64"/>
  <c r="D75" i="64"/>
  <c r="D82" i="64" s="1"/>
  <c r="D85" i="64" s="1"/>
  <c r="AC15" i="64"/>
  <c r="S76" i="64"/>
  <c r="F22" i="64"/>
  <c r="F75" i="64" s="1"/>
  <c r="F82" i="64" s="1"/>
  <c r="H22" i="64"/>
  <c r="H75" i="64" s="1"/>
  <c r="H82" i="64" s="1"/>
  <c r="T22" i="64"/>
  <c r="T75" i="64" s="1"/>
  <c r="T82" i="64" s="1"/>
  <c r="X22" i="64"/>
  <c r="AK22" i="64"/>
  <c r="AK75" i="64" s="1"/>
  <c r="AK82" i="64" s="1"/>
  <c r="V76" i="64"/>
  <c r="AC22" i="64"/>
  <c r="AJ22" i="64"/>
  <c r="I22" i="64"/>
  <c r="I79" i="64"/>
  <c r="M22" i="64"/>
  <c r="M75" i="64" s="1"/>
  <c r="M82" i="64" s="1"/>
  <c r="M79" i="64"/>
  <c r="U22" i="64"/>
  <c r="W79" i="64"/>
  <c r="AI79" i="64"/>
  <c r="AF36" i="64"/>
  <c r="AH36" i="64"/>
  <c r="AH75" i="64" s="1"/>
  <c r="AH82" i="64" s="1"/>
  <c r="I36" i="64"/>
  <c r="Q36" i="64"/>
  <c r="Q75" i="64" s="1"/>
  <c r="Q82" i="64" s="1"/>
  <c r="W36" i="64"/>
  <c r="AC36" i="64"/>
  <c r="AC75" i="64" s="1"/>
  <c r="AC82" i="64" s="1"/>
  <c r="Z43" i="64"/>
  <c r="Z75" i="64" s="1"/>
  <c r="Z82" i="64" s="1"/>
  <c r="AR43" i="64"/>
  <c r="W43" i="64"/>
  <c r="AA43" i="64"/>
  <c r="AA75" i="64" s="1"/>
  <c r="AA82" i="64" s="1"/>
  <c r="AA79" i="64"/>
  <c r="AR50" i="64"/>
  <c r="AQ57" i="64"/>
  <c r="H76" i="64"/>
  <c r="X76" i="64"/>
  <c r="AQ64" i="64"/>
  <c r="G76" i="65"/>
  <c r="O76" i="65"/>
  <c r="O8" i="65"/>
  <c r="AG76" i="65"/>
  <c r="AE78" i="65"/>
  <c r="F80" i="65"/>
  <c r="F8" i="65"/>
  <c r="D75" i="65"/>
  <c r="D82" i="65" s="1"/>
  <c r="D85" i="65" s="1"/>
  <c r="AJ75" i="65"/>
  <c r="AJ82" i="65" s="1"/>
  <c r="AP75" i="65"/>
  <c r="AP82" i="65" s="1"/>
  <c r="AC76" i="65"/>
  <c r="H22" i="65"/>
  <c r="AH75" i="65"/>
  <c r="AH82" i="65" s="1"/>
  <c r="AE38" i="65"/>
  <c r="AF36" i="65"/>
  <c r="AR50" i="65"/>
  <c r="H76" i="65"/>
  <c r="H57" i="65"/>
  <c r="X76" i="65"/>
  <c r="Q79" i="65"/>
  <c r="G8" i="66"/>
  <c r="O8" i="66"/>
  <c r="O75" i="66" s="1"/>
  <c r="O82" i="66" s="1"/>
  <c r="AF75" i="66"/>
  <c r="AF82" i="66" s="1"/>
  <c r="S22" i="66"/>
  <c r="W22" i="66"/>
  <c r="AR22" i="66"/>
  <c r="F76" i="66"/>
  <c r="F22" i="66"/>
  <c r="R76" i="66"/>
  <c r="R22" i="66"/>
  <c r="R75" i="66" s="1"/>
  <c r="R82" i="66" s="1"/>
  <c r="AI22" i="66"/>
  <c r="AE36" i="66"/>
  <c r="AI36" i="66"/>
  <c r="N76" i="66"/>
  <c r="N43" i="66"/>
  <c r="AC43" i="66"/>
  <c r="H76" i="66"/>
  <c r="H57" i="66"/>
  <c r="H75" i="66" s="1"/>
  <c r="H82" i="66" s="1"/>
  <c r="AQ15" i="66"/>
  <c r="AN8" i="66"/>
  <c r="AN76" i="66"/>
  <c r="AM78" i="66"/>
  <c r="G94" i="67"/>
  <c r="K94" i="67"/>
  <c r="K8" i="67"/>
  <c r="O94" i="67"/>
  <c r="AG94" i="67"/>
  <c r="AG8" i="67"/>
  <c r="AE95" i="67"/>
  <c r="F98" i="67"/>
  <c r="F8" i="67"/>
  <c r="D93" i="67"/>
  <c r="D100" i="67" s="1"/>
  <c r="D103" i="67" s="1"/>
  <c r="AA93" i="67"/>
  <c r="AA100" i="67" s="1"/>
  <c r="AL93" i="67"/>
  <c r="AL100" i="67" s="1"/>
  <c r="AR33" i="67"/>
  <c r="AO93" i="67"/>
  <c r="S94" i="67"/>
  <c r="H40" i="67"/>
  <c r="L40" i="67"/>
  <c r="P40" i="67"/>
  <c r="P93" i="67" s="1"/>
  <c r="P100" i="67" s="1"/>
  <c r="AE40" i="67"/>
  <c r="AD54" i="67"/>
  <c r="AH54" i="67"/>
  <c r="AH93" i="67" s="1"/>
  <c r="AH100" i="67" s="1"/>
  <c r="N61" i="67"/>
  <c r="Z61" i="67"/>
  <c r="AM15" i="64"/>
  <c r="AQ15" i="64" s="1"/>
  <c r="AM78" i="64"/>
  <c r="AF75" i="65"/>
  <c r="AF82" i="65" s="1"/>
  <c r="M76" i="65"/>
  <c r="AI77" i="65"/>
  <c r="AI78" i="65"/>
  <c r="AL75" i="65"/>
  <c r="AL82" i="65" s="1"/>
  <c r="S76" i="65"/>
  <c r="G75" i="65"/>
  <c r="G82" i="65" s="1"/>
  <c r="AD75" i="65"/>
  <c r="AD82" i="65" s="1"/>
  <c r="F76" i="65"/>
  <c r="R22" i="65"/>
  <c r="R75" i="65" s="1"/>
  <c r="R82" i="65" s="1"/>
  <c r="W76" i="65"/>
  <c r="AA76" i="65"/>
  <c r="AA77" i="65"/>
  <c r="AG22" i="65"/>
  <c r="AG75" i="65" s="1"/>
  <c r="AG82" i="65" s="1"/>
  <c r="G79" i="65"/>
  <c r="K79" i="65"/>
  <c r="O79" i="65"/>
  <c r="U22" i="65"/>
  <c r="AE79" i="65"/>
  <c r="I36" i="65"/>
  <c r="Q76" i="65"/>
  <c r="W36" i="65"/>
  <c r="U36" i="65"/>
  <c r="AJ78" i="65"/>
  <c r="K43" i="65"/>
  <c r="AI43" i="65"/>
  <c r="AC78" i="65"/>
  <c r="P79" i="65"/>
  <c r="AC57" i="65"/>
  <c r="I57" i="65"/>
  <c r="I79" i="65"/>
  <c r="M79" i="65"/>
  <c r="I80" i="65"/>
  <c r="AR22" i="65"/>
  <c r="AP75" i="66"/>
  <c r="AP82" i="66" s="1"/>
  <c r="AI76" i="66"/>
  <c r="AI77" i="66"/>
  <c r="AI78" i="66"/>
  <c r="J75" i="66"/>
  <c r="J82" i="66" s="1"/>
  <c r="AH75" i="66"/>
  <c r="AH82" i="66" s="1"/>
  <c r="AL75" i="66"/>
  <c r="AL82" i="66" s="1"/>
  <c r="Q22" i="66"/>
  <c r="V76" i="66"/>
  <c r="AJ22" i="66"/>
  <c r="AC77" i="66"/>
  <c r="X22" i="66"/>
  <c r="AI80" i="66"/>
  <c r="AI29" i="66"/>
  <c r="AQ29" i="66" s="1"/>
  <c r="Q36" i="66"/>
  <c r="Q75" i="66" s="1"/>
  <c r="Q82" i="66" s="1"/>
  <c r="U36" i="66"/>
  <c r="AC36" i="66"/>
  <c r="AC75" i="66" s="1"/>
  <c r="AC82" i="66" s="1"/>
  <c r="O43" i="66"/>
  <c r="AE43" i="66"/>
  <c r="AA43" i="66"/>
  <c r="AC57" i="66"/>
  <c r="I57" i="66"/>
  <c r="V93" i="67"/>
  <c r="V100" i="67" s="1"/>
  <c r="Z93" i="67"/>
  <c r="Z100" i="67" s="1"/>
  <c r="AI94" i="67"/>
  <c r="AI95" i="67"/>
  <c r="C93" i="67"/>
  <c r="C100" i="67" s="1"/>
  <c r="C103" i="67" s="1"/>
  <c r="T93" i="67"/>
  <c r="T100" i="67" s="1"/>
  <c r="X93" i="67"/>
  <c r="X100" i="67" s="1"/>
  <c r="AB93" i="67"/>
  <c r="AB100" i="67" s="1"/>
  <c r="AP93" i="67"/>
  <c r="AP100" i="67" s="1"/>
  <c r="R40" i="67"/>
  <c r="R93" i="67" s="1"/>
  <c r="R100" i="67" s="1"/>
  <c r="W94" i="67"/>
  <c r="AA94" i="67"/>
  <c r="AA95" i="67"/>
  <c r="AA96" i="67"/>
  <c r="G97" i="67"/>
  <c r="K97" i="67"/>
  <c r="O97" i="67"/>
  <c r="Q97" i="67"/>
  <c r="U40" i="67"/>
  <c r="U93" i="67" s="1"/>
  <c r="U100" i="67" s="1"/>
  <c r="W97" i="67"/>
  <c r="AE97" i="67"/>
  <c r="AI97" i="67"/>
  <c r="AR40" i="67"/>
  <c r="AI47" i="67"/>
  <c r="U54" i="67"/>
  <c r="AJ54" i="67"/>
  <c r="AC96" i="67"/>
  <c r="AR61" i="67"/>
  <c r="AD75" i="67"/>
  <c r="AD94" i="67"/>
  <c r="AQ82" i="67"/>
  <c r="AM33" i="67"/>
  <c r="AQ33" i="67" s="1"/>
  <c r="AM95" i="67"/>
  <c r="AP93" i="68"/>
  <c r="AP100" i="68" s="1"/>
  <c r="I94" i="68"/>
  <c r="Q94" i="68"/>
  <c r="AC61" i="68"/>
  <c r="AA61" i="68"/>
  <c r="W61" i="68"/>
  <c r="W93" i="68" s="1"/>
  <c r="W100" i="68" s="1"/>
  <c r="AG97" i="68"/>
  <c r="AM47" i="68"/>
  <c r="AQ47" i="68" s="1"/>
  <c r="AL93" i="69"/>
  <c r="AL100" i="69" s="1"/>
  <c r="X40" i="69"/>
  <c r="X93" i="69" s="1"/>
  <c r="X100" i="69" s="1"/>
  <c r="AC61" i="69"/>
  <c r="AR68" i="69"/>
  <c r="H94" i="69"/>
  <c r="X94" i="69"/>
  <c r="AQ82" i="69"/>
  <c r="AF96" i="69"/>
  <c r="AR40" i="69"/>
  <c r="AP93" i="70"/>
  <c r="AP100" i="70" s="1"/>
  <c r="AI40" i="70"/>
  <c r="V40" i="70"/>
  <c r="AD93" i="70"/>
  <c r="AD100" i="70" s="1"/>
  <c r="AC98" i="70"/>
  <c r="AC61" i="70"/>
  <c r="AR68" i="70"/>
  <c r="H94" i="70"/>
  <c r="AN95" i="70"/>
  <c r="AE54" i="71"/>
  <c r="AE93" i="71" s="1"/>
  <c r="AE100" i="71" s="1"/>
  <c r="I93" i="72"/>
  <c r="I100" i="72" s="1"/>
  <c r="AM40" i="67"/>
  <c r="AQ61" i="67"/>
  <c r="AR40" i="68"/>
  <c r="AF54" i="68"/>
  <c r="AR61" i="68"/>
  <c r="AQ61" i="68"/>
  <c r="D93" i="68"/>
  <c r="D100" i="68" s="1"/>
  <c r="D103" i="68" s="1"/>
  <c r="V94" i="68"/>
  <c r="AC95" i="68"/>
  <c r="AQ33" i="68"/>
  <c r="AC93" i="69"/>
  <c r="AC100" i="69" s="1"/>
  <c r="AP93" i="69"/>
  <c r="AP100" i="69" s="1"/>
  <c r="AE40" i="69"/>
  <c r="U40" i="69"/>
  <c r="U54" i="69"/>
  <c r="I54" i="69"/>
  <c r="AE54" i="69"/>
  <c r="AC98" i="69"/>
  <c r="AR61" i="69"/>
  <c r="AA61" i="69"/>
  <c r="I75" i="69"/>
  <c r="I95" i="69"/>
  <c r="I98" i="69"/>
  <c r="AQ33" i="69"/>
  <c r="AM54" i="69"/>
  <c r="AQ54" i="69" s="1"/>
  <c r="AI47" i="70"/>
  <c r="U54" i="70"/>
  <c r="U93" i="70" s="1"/>
  <c r="U100" i="70" s="1"/>
  <c r="AE58" i="70"/>
  <c r="AE96" i="70" s="1"/>
  <c r="AJ96" i="70"/>
  <c r="AA61" i="70"/>
  <c r="P97" i="70"/>
  <c r="I75" i="70"/>
  <c r="I93" i="70" s="1"/>
  <c r="I100" i="70" s="1"/>
  <c r="I98" i="70"/>
  <c r="AM47" i="70"/>
  <c r="AM93" i="72"/>
  <c r="AM100" i="72" s="1"/>
  <c r="AQ100" i="72" s="1"/>
  <c r="AI93" i="72"/>
  <c r="AI100" i="72" s="1"/>
  <c r="AF93" i="72"/>
  <c r="AF100" i="72" s="1"/>
  <c r="AM93" i="71"/>
  <c r="AQ93" i="71" s="1"/>
  <c r="AQ40" i="71"/>
  <c r="AR93" i="71"/>
  <c r="AO100" i="71"/>
  <c r="AR100" i="71" s="1"/>
  <c r="AE95" i="71"/>
  <c r="AL93" i="70"/>
  <c r="AL100" i="70" s="1"/>
  <c r="AQ82" i="70"/>
  <c r="AQ47" i="70"/>
  <c r="AJ93" i="70"/>
  <c r="AJ100" i="70" s="1"/>
  <c r="AM94" i="70"/>
  <c r="AM61" i="70"/>
  <c r="AQ61" i="70" s="1"/>
  <c r="AN54" i="70"/>
  <c r="AN93" i="70" s="1"/>
  <c r="AN100" i="70" s="1"/>
  <c r="AM54" i="70"/>
  <c r="AQ54" i="70" s="1"/>
  <c r="AO40" i="70"/>
  <c r="AR40" i="70" s="1"/>
  <c r="AM40" i="70"/>
  <c r="AQ40" i="70" s="1"/>
  <c r="AM95" i="70"/>
  <c r="M93" i="70"/>
  <c r="M100" i="70" s="1"/>
  <c r="AQ68" i="70"/>
  <c r="Y93" i="70"/>
  <c r="Y100" i="70" s="1"/>
  <c r="R93" i="70"/>
  <c r="R100" i="70" s="1"/>
  <c r="J93" i="70"/>
  <c r="J100" i="70" s="1"/>
  <c r="N93" i="70"/>
  <c r="N100" i="70" s="1"/>
  <c r="V93" i="70"/>
  <c r="V100" i="70" s="1"/>
  <c r="Z93" i="70"/>
  <c r="Z100" i="70" s="1"/>
  <c r="E93" i="70"/>
  <c r="E100" i="70" s="1"/>
  <c r="Q93" i="70"/>
  <c r="Q100" i="70" s="1"/>
  <c r="P93" i="70"/>
  <c r="P100" i="70" s="1"/>
  <c r="AG93" i="70"/>
  <c r="AG100" i="70" s="1"/>
  <c r="Q94" i="70"/>
  <c r="AG94" i="70"/>
  <c r="AC96" i="70"/>
  <c r="G40" i="70"/>
  <c r="O40" i="70"/>
  <c r="W40" i="70"/>
  <c r="W93" i="70" s="1"/>
  <c r="W100" i="70" s="1"/>
  <c r="AA40" i="70"/>
  <c r="AA93" i="70" s="1"/>
  <c r="AA100" i="70" s="1"/>
  <c r="O54" i="70"/>
  <c r="AE57" i="70"/>
  <c r="AE95" i="70" s="1"/>
  <c r="P94" i="70"/>
  <c r="AF94" i="70"/>
  <c r="F8" i="70"/>
  <c r="F93" i="70" s="1"/>
  <c r="F100" i="70" s="1"/>
  <c r="AM33" i="70"/>
  <c r="AC54" i="70"/>
  <c r="R94" i="70"/>
  <c r="AD94" i="70"/>
  <c r="AD96" i="70"/>
  <c r="J97" i="70"/>
  <c r="N97" i="70"/>
  <c r="V97" i="70"/>
  <c r="K40" i="70"/>
  <c r="K93" i="70" s="1"/>
  <c r="K100" i="70" s="1"/>
  <c r="G8" i="70"/>
  <c r="G93" i="70" s="1"/>
  <c r="G100" i="70" s="1"/>
  <c r="O8" i="70"/>
  <c r="AE8" i="70"/>
  <c r="AI8" i="70"/>
  <c r="AI93" i="70" s="1"/>
  <c r="AI100" i="70" s="1"/>
  <c r="S33" i="70"/>
  <c r="S93" i="70" s="1"/>
  <c r="S100" i="70" s="1"/>
  <c r="AR33" i="70"/>
  <c r="AN96" i="69"/>
  <c r="AN95" i="69"/>
  <c r="AN40" i="69"/>
  <c r="AQ8" i="69"/>
  <c r="AN54" i="69"/>
  <c r="AM97" i="69"/>
  <c r="AM47" i="69"/>
  <c r="AQ47" i="69" s="1"/>
  <c r="AO93" i="69"/>
  <c r="AR93" i="69" s="1"/>
  <c r="AM96" i="69"/>
  <c r="AM95" i="69"/>
  <c r="AM61" i="69"/>
  <c r="AQ61" i="69" s="1"/>
  <c r="AM94" i="69"/>
  <c r="N93" i="69"/>
  <c r="N100" i="69" s="1"/>
  <c r="R93" i="69"/>
  <c r="R100" i="69" s="1"/>
  <c r="Z93" i="69"/>
  <c r="Z100" i="69" s="1"/>
  <c r="Q93" i="69"/>
  <c r="Q100" i="69" s="1"/>
  <c r="U93" i="69"/>
  <c r="U100" i="69" s="1"/>
  <c r="Y93" i="69"/>
  <c r="Y100" i="69" s="1"/>
  <c r="G93" i="69"/>
  <c r="G100" i="69" s="1"/>
  <c r="T93" i="69"/>
  <c r="T100" i="69" s="1"/>
  <c r="H93" i="69"/>
  <c r="H100" i="69" s="1"/>
  <c r="L93" i="69"/>
  <c r="L100" i="69" s="1"/>
  <c r="M93" i="69"/>
  <c r="M100" i="69" s="1"/>
  <c r="D93" i="69"/>
  <c r="D100" i="69" s="1"/>
  <c r="D103" i="69" s="1"/>
  <c r="AQ68" i="69"/>
  <c r="E93" i="69"/>
  <c r="E100" i="69" s="1"/>
  <c r="AE94" i="69"/>
  <c r="AE8" i="69"/>
  <c r="K93" i="69"/>
  <c r="K100" i="69" s="1"/>
  <c r="P93" i="69"/>
  <c r="P100" i="69" s="1"/>
  <c r="W93" i="69"/>
  <c r="W100" i="69" s="1"/>
  <c r="AO100" i="69"/>
  <c r="AR100" i="69" s="1"/>
  <c r="V93" i="69"/>
  <c r="V100" i="69" s="1"/>
  <c r="AG93" i="69"/>
  <c r="AG100" i="69" s="1"/>
  <c r="AE96" i="69"/>
  <c r="AI93" i="69"/>
  <c r="AI100" i="69" s="1"/>
  <c r="AC94" i="69"/>
  <c r="AG94" i="69"/>
  <c r="AC96" i="69"/>
  <c r="I97" i="69"/>
  <c r="M97" i="69"/>
  <c r="U97" i="69"/>
  <c r="AD54" i="69"/>
  <c r="AD93" i="69" s="1"/>
  <c r="AD100" i="69" s="1"/>
  <c r="P94" i="69"/>
  <c r="AF94" i="69"/>
  <c r="AJ94" i="69"/>
  <c r="H97" i="69"/>
  <c r="P97" i="69"/>
  <c r="AF8" i="69"/>
  <c r="AF93" i="69" s="1"/>
  <c r="AF100" i="69" s="1"/>
  <c r="AA40" i="69"/>
  <c r="AA93" i="69" s="1"/>
  <c r="AA100" i="69" s="1"/>
  <c r="AM40" i="69"/>
  <c r="AD94" i="69"/>
  <c r="M94" i="69"/>
  <c r="Q94" i="69"/>
  <c r="L97" i="69"/>
  <c r="T97" i="69"/>
  <c r="X97" i="69"/>
  <c r="AM94" i="68"/>
  <c r="AN95" i="68"/>
  <c r="AN94" i="68"/>
  <c r="AM54" i="68"/>
  <c r="AN96" i="68"/>
  <c r="AN40" i="68"/>
  <c r="AN93" i="68" s="1"/>
  <c r="AN100" i="68" s="1"/>
  <c r="AO93" i="68"/>
  <c r="AO100" i="68" s="1"/>
  <c r="AR100" i="68" s="1"/>
  <c r="AM96" i="68"/>
  <c r="AM95" i="68"/>
  <c r="F93" i="68"/>
  <c r="F100" i="68" s="1"/>
  <c r="U93" i="68"/>
  <c r="U100" i="68" s="1"/>
  <c r="Y93" i="68"/>
  <c r="Y100" i="68" s="1"/>
  <c r="R93" i="68"/>
  <c r="R100" i="68" s="1"/>
  <c r="V93" i="68"/>
  <c r="V100" i="68" s="1"/>
  <c r="Z93" i="68"/>
  <c r="Z100" i="68" s="1"/>
  <c r="H93" i="68"/>
  <c r="H100" i="68" s="1"/>
  <c r="L93" i="68"/>
  <c r="L100" i="68" s="1"/>
  <c r="AR68" i="68"/>
  <c r="K93" i="68"/>
  <c r="K100" i="68" s="1"/>
  <c r="AE94" i="68"/>
  <c r="AE8" i="68"/>
  <c r="Q93" i="68"/>
  <c r="Q100" i="68" s="1"/>
  <c r="P93" i="68"/>
  <c r="P100" i="68" s="1"/>
  <c r="S93" i="68"/>
  <c r="S100" i="68" s="1"/>
  <c r="AF93" i="68"/>
  <c r="AF100" i="68" s="1"/>
  <c r="M93" i="68"/>
  <c r="M100" i="68" s="1"/>
  <c r="F94" i="68"/>
  <c r="AJ40" i="68"/>
  <c r="AJ93" i="68" s="1"/>
  <c r="AJ100" i="68" s="1"/>
  <c r="AE58" i="68"/>
  <c r="AE96" i="68" s="1"/>
  <c r="AG96" i="68"/>
  <c r="AA40" i="68"/>
  <c r="AA93" i="68" s="1"/>
  <c r="AA100" i="68" s="1"/>
  <c r="AE40" i="68"/>
  <c r="AM40" i="68"/>
  <c r="AQ40" i="68" s="1"/>
  <c r="G54" i="68"/>
  <c r="O54" i="68"/>
  <c r="AE57" i="68"/>
  <c r="N61" i="68"/>
  <c r="N93" i="68" s="1"/>
  <c r="N100" i="68" s="1"/>
  <c r="AB75" i="68"/>
  <c r="AB93" i="68" s="1"/>
  <c r="AB100" i="68" s="1"/>
  <c r="AF94" i="68"/>
  <c r="AF96" i="68"/>
  <c r="AN98" i="68"/>
  <c r="G8" i="68"/>
  <c r="O8" i="68"/>
  <c r="O93" i="68" s="1"/>
  <c r="O100" i="68" s="1"/>
  <c r="AI8" i="68"/>
  <c r="AC75" i="68"/>
  <c r="AC93" i="68" s="1"/>
  <c r="AC100" i="68" s="1"/>
  <c r="M94" i="68"/>
  <c r="AC94" i="68"/>
  <c r="AG94" i="68"/>
  <c r="G75" i="68"/>
  <c r="AN54" i="67"/>
  <c r="AM54" i="67"/>
  <c r="AQ54" i="67" s="1"/>
  <c r="AR93" i="67"/>
  <c r="Y93" i="67"/>
  <c r="Y100" i="67" s="1"/>
  <c r="H93" i="67"/>
  <c r="H100" i="67" s="1"/>
  <c r="L93" i="67"/>
  <c r="L100" i="67" s="1"/>
  <c r="F93" i="67"/>
  <c r="F100" i="67" s="1"/>
  <c r="K93" i="67"/>
  <c r="K100" i="67" s="1"/>
  <c r="AQ68" i="67"/>
  <c r="AR68" i="67"/>
  <c r="E93" i="67"/>
  <c r="E100" i="67" s="1"/>
  <c r="J93" i="67"/>
  <c r="J100" i="67" s="1"/>
  <c r="W93" i="67"/>
  <c r="W100" i="67" s="1"/>
  <c r="AE94" i="67"/>
  <c r="AE8" i="67"/>
  <c r="M93" i="67"/>
  <c r="M100" i="67" s="1"/>
  <c r="AJ93" i="67"/>
  <c r="AJ100" i="67" s="1"/>
  <c r="AQ47" i="67"/>
  <c r="Q93" i="67"/>
  <c r="Q100" i="67" s="1"/>
  <c r="AQ40" i="67"/>
  <c r="J97" i="67"/>
  <c r="V97" i="67"/>
  <c r="S33" i="67"/>
  <c r="N40" i="67"/>
  <c r="N93" i="67" s="1"/>
  <c r="N100" i="67" s="1"/>
  <c r="Q94" i="67"/>
  <c r="U94" i="67"/>
  <c r="I97" i="67"/>
  <c r="M97" i="67"/>
  <c r="U97" i="67"/>
  <c r="AC40" i="67"/>
  <c r="AC93" i="67" s="1"/>
  <c r="AC100" i="67" s="1"/>
  <c r="AG40" i="67"/>
  <c r="AG93" i="67" s="1"/>
  <c r="AG100" i="67" s="1"/>
  <c r="AF54" i="67"/>
  <c r="AF93" i="67" s="1"/>
  <c r="AF100" i="67" s="1"/>
  <c r="AE58" i="67"/>
  <c r="AE54" i="67" s="1"/>
  <c r="P94" i="67"/>
  <c r="AF94" i="67"/>
  <c r="AJ94" i="67"/>
  <c r="R94" i="67"/>
  <c r="AR8" i="67"/>
  <c r="I54" i="67"/>
  <c r="I93" i="67" s="1"/>
  <c r="I100" i="67" s="1"/>
  <c r="G8" i="67"/>
  <c r="G93" i="67" s="1"/>
  <c r="G100" i="67" s="1"/>
  <c r="O8" i="67"/>
  <c r="O93" i="67" s="1"/>
  <c r="O100" i="67" s="1"/>
  <c r="AI8" i="67"/>
  <c r="AI93" i="67" s="1"/>
  <c r="AI100" i="67" s="1"/>
  <c r="G54" i="67"/>
  <c r="AD75" i="66"/>
  <c r="AD82" i="66" s="1"/>
  <c r="AQ57" i="66"/>
  <c r="Y75" i="66"/>
  <c r="Y82" i="66" s="1"/>
  <c r="L75" i="66"/>
  <c r="L82" i="66" s="1"/>
  <c r="P75" i="66"/>
  <c r="P82" i="66" s="1"/>
  <c r="T75" i="66"/>
  <c r="T82" i="66" s="1"/>
  <c r="X75" i="66"/>
  <c r="X82" i="66" s="1"/>
  <c r="AB75" i="66"/>
  <c r="AB82" i="66" s="1"/>
  <c r="AM22" i="66"/>
  <c r="AQ22" i="66" s="1"/>
  <c r="AO75" i="66"/>
  <c r="AO82" i="66" s="1"/>
  <c r="AR82" i="66" s="1"/>
  <c r="AR8" i="66"/>
  <c r="AO76" i="66"/>
  <c r="AM43" i="66"/>
  <c r="AQ43" i="66" s="1"/>
  <c r="AN36" i="66"/>
  <c r="AN75" i="66" s="1"/>
  <c r="AN82" i="66" s="1"/>
  <c r="AM79" i="66"/>
  <c r="AM36" i="66"/>
  <c r="AQ36" i="66" s="1"/>
  <c r="AM76" i="66"/>
  <c r="AM77" i="66"/>
  <c r="F75" i="66"/>
  <c r="F82" i="66" s="1"/>
  <c r="N75" i="66"/>
  <c r="N82" i="66" s="1"/>
  <c r="V75" i="66"/>
  <c r="V82" i="66" s="1"/>
  <c r="G75" i="66"/>
  <c r="G82" i="66" s="1"/>
  <c r="AR50" i="66"/>
  <c r="W75" i="66"/>
  <c r="W82" i="66" s="1"/>
  <c r="AQ50" i="66"/>
  <c r="Z75" i="66"/>
  <c r="Z82" i="66" s="1"/>
  <c r="M75" i="66"/>
  <c r="M82" i="66" s="1"/>
  <c r="AJ75" i="66"/>
  <c r="AJ82" i="66" s="1"/>
  <c r="Q76" i="66"/>
  <c r="AC76" i="66"/>
  <c r="K8" i="66"/>
  <c r="K75" i="66" s="1"/>
  <c r="K82" i="66" s="1"/>
  <c r="AE10" i="66"/>
  <c r="S15" i="66"/>
  <c r="S75" i="66" s="1"/>
  <c r="S82" i="66" s="1"/>
  <c r="I22" i="66"/>
  <c r="U22" i="66"/>
  <c r="U75" i="66" s="1"/>
  <c r="U82" i="66" s="1"/>
  <c r="P76" i="66"/>
  <c r="H79" i="66"/>
  <c r="P79" i="66"/>
  <c r="T79" i="66"/>
  <c r="AA22" i="66"/>
  <c r="AD76" i="66"/>
  <c r="AD78" i="66"/>
  <c r="AC78" i="66"/>
  <c r="M79" i="66"/>
  <c r="AI8" i="66"/>
  <c r="AI75" i="66" s="1"/>
  <c r="AI82" i="66" s="1"/>
  <c r="AJ76" i="66"/>
  <c r="L79" i="66"/>
  <c r="X79" i="66"/>
  <c r="AM22" i="65"/>
  <c r="AQ22" i="65" s="1"/>
  <c r="AN78" i="65"/>
  <c r="AN36" i="65"/>
  <c r="AN77" i="65"/>
  <c r="AM36" i="65"/>
  <c r="AQ36" i="65" s="1"/>
  <c r="AM79" i="65"/>
  <c r="AM77" i="65"/>
  <c r="E75" i="65"/>
  <c r="E82" i="65" s="1"/>
  <c r="H75" i="65"/>
  <c r="H82" i="65" s="1"/>
  <c r="M75" i="65"/>
  <c r="M82" i="65" s="1"/>
  <c r="U75" i="65"/>
  <c r="U82" i="65" s="1"/>
  <c r="Y75" i="65"/>
  <c r="Y82" i="65" s="1"/>
  <c r="F75" i="65"/>
  <c r="F82" i="65" s="1"/>
  <c r="Z75" i="65"/>
  <c r="Z82" i="65" s="1"/>
  <c r="AQ50" i="65"/>
  <c r="L75" i="65"/>
  <c r="L82" i="65" s="1"/>
  <c r="P75" i="65"/>
  <c r="P82" i="65" s="1"/>
  <c r="T75" i="65"/>
  <c r="T82" i="65" s="1"/>
  <c r="AM76" i="65"/>
  <c r="AQ43" i="65"/>
  <c r="AO75" i="65"/>
  <c r="W75" i="65"/>
  <c r="W82" i="65" s="1"/>
  <c r="I75" i="65"/>
  <c r="I82" i="65" s="1"/>
  <c r="AE76" i="65"/>
  <c r="AE8" i="65"/>
  <c r="AQ29" i="65"/>
  <c r="I76" i="65"/>
  <c r="AO79" i="65"/>
  <c r="AM8" i="65"/>
  <c r="N22" i="65"/>
  <c r="N75" i="65" s="1"/>
  <c r="N82" i="65" s="1"/>
  <c r="AE39" i="65"/>
  <c r="AE77" i="65" s="1"/>
  <c r="AC43" i="65"/>
  <c r="AC75" i="65" s="1"/>
  <c r="AC82" i="65" s="1"/>
  <c r="AJ76" i="65"/>
  <c r="AN76" i="65"/>
  <c r="AN22" i="65"/>
  <c r="Q36" i="65"/>
  <c r="Q75" i="65" s="1"/>
  <c r="Q82" i="65" s="1"/>
  <c r="R76" i="65"/>
  <c r="AD76" i="65"/>
  <c r="AD78" i="65"/>
  <c r="J79" i="65"/>
  <c r="V79" i="65"/>
  <c r="AG78" i="65"/>
  <c r="O36" i="65"/>
  <c r="O75" i="65" s="1"/>
  <c r="O82" i="65" s="1"/>
  <c r="P76" i="65"/>
  <c r="AF76" i="65"/>
  <c r="K8" i="65"/>
  <c r="K75" i="65" s="1"/>
  <c r="K82" i="65" s="1"/>
  <c r="AI8" i="65"/>
  <c r="AI75" i="65" s="1"/>
  <c r="AI82" i="65" s="1"/>
  <c r="S15" i="65"/>
  <c r="S75" i="65" s="1"/>
  <c r="S82" i="65" s="1"/>
  <c r="AM8" i="64"/>
  <c r="AN78" i="64"/>
  <c r="AM36" i="64"/>
  <c r="AQ36" i="64" s="1"/>
  <c r="AM29" i="64"/>
  <c r="AQ29" i="64" s="1"/>
  <c r="AN22" i="64"/>
  <c r="AN75" i="64" s="1"/>
  <c r="AN82" i="64" s="1"/>
  <c r="AM22" i="64"/>
  <c r="AQ22" i="64" s="1"/>
  <c r="AM79" i="64"/>
  <c r="AM77" i="64"/>
  <c r="E75" i="64"/>
  <c r="E82" i="64" s="1"/>
  <c r="L75" i="64"/>
  <c r="L82" i="64" s="1"/>
  <c r="X75" i="64"/>
  <c r="X82" i="64" s="1"/>
  <c r="AQ50" i="64"/>
  <c r="U75" i="64"/>
  <c r="U82" i="64" s="1"/>
  <c r="Y75" i="64"/>
  <c r="Y82" i="64" s="1"/>
  <c r="AG75" i="64"/>
  <c r="AG82" i="64" s="1"/>
  <c r="AO75" i="64"/>
  <c r="AJ75" i="64"/>
  <c r="AJ82" i="64" s="1"/>
  <c r="AD75" i="64"/>
  <c r="AD82" i="64" s="1"/>
  <c r="AQ43" i="64"/>
  <c r="W75" i="64"/>
  <c r="W82" i="64" s="1"/>
  <c r="I76" i="64"/>
  <c r="Q76" i="64"/>
  <c r="AO79" i="64"/>
  <c r="AI8" i="64"/>
  <c r="AI75" i="64" s="1"/>
  <c r="AI82" i="64" s="1"/>
  <c r="AE10" i="64"/>
  <c r="S15" i="64"/>
  <c r="S75" i="64" s="1"/>
  <c r="S82" i="64" s="1"/>
  <c r="N22" i="64"/>
  <c r="N75" i="64" s="1"/>
  <c r="N82" i="64" s="1"/>
  <c r="V22" i="64"/>
  <c r="V75" i="64" s="1"/>
  <c r="V82" i="64" s="1"/>
  <c r="O36" i="64"/>
  <c r="O75" i="64" s="1"/>
  <c r="O82" i="64" s="1"/>
  <c r="AE39" i="64"/>
  <c r="AE77" i="64" s="1"/>
  <c r="P76" i="64"/>
  <c r="AJ76" i="64"/>
  <c r="AN77" i="64"/>
  <c r="AR8" i="64"/>
  <c r="R76" i="64"/>
  <c r="AD76" i="64"/>
  <c r="AD78" i="64"/>
  <c r="J79" i="64"/>
  <c r="AC78" i="64"/>
  <c r="AG78" i="64"/>
  <c r="K8" i="64"/>
  <c r="K75" i="64" s="1"/>
  <c r="K82" i="64" s="1"/>
  <c r="AN76" i="64"/>
  <c r="AM22" i="63"/>
  <c r="AM76" i="63"/>
  <c r="AM8" i="63"/>
  <c r="AN78" i="63"/>
  <c r="AN36" i="63"/>
  <c r="AN76" i="63"/>
  <c r="AM29" i="63"/>
  <c r="AM79" i="63"/>
  <c r="AM77" i="63"/>
  <c r="H75" i="63"/>
  <c r="H82" i="63" s="1"/>
  <c r="L75" i="63"/>
  <c r="L82" i="63" s="1"/>
  <c r="P75" i="63"/>
  <c r="P82" i="63" s="1"/>
  <c r="AQ50" i="63"/>
  <c r="E75" i="63"/>
  <c r="E82" i="63" s="1"/>
  <c r="AR50" i="63"/>
  <c r="AE76" i="63"/>
  <c r="AE8" i="63"/>
  <c r="AG75" i="63"/>
  <c r="AG82" i="63" s="1"/>
  <c r="AO75" i="63"/>
  <c r="T75" i="63"/>
  <c r="T82" i="63" s="1"/>
  <c r="X75" i="63"/>
  <c r="X82" i="63" s="1"/>
  <c r="J79" i="63"/>
  <c r="V79" i="63"/>
  <c r="S15" i="63"/>
  <c r="S75" i="63" s="1"/>
  <c r="S82" i="63" s="1"/>
  <c r="N22" i="63"/>
  <c r="N75" i="63" s="1"/>
  <c r="N82" i="63" s="1"/>
  <c r="R22" i="63"/>
  <c r="R75" i="63" s="1"/>
  <c r="R82" i="63" s="1"/>
  <c r="O36" i="63"/>
  <c r="O75" i="63" s="1"/>
  <c r="O82" i="63" s="1"/>
  <c r="AE39" i="63"/>
  <c r="AE77" i="63" s="1"/>
  <c r="AG78" i="63"/>
  <c r="AO79" i="63"/>
  <c r="P76" i="63"/>
  <c r="AF76" i="63"/>
  <c r="AJ76" i="63"/>
  <c r="AN77" i="63"/>
  <c r="H79" i="63"/>
  <c r="L79" i="63"/>
  <c r="P79" i="63"/>
  <c r="T79" i="63"/>
  <c r="X79" i="63"/>
  <c r="K8" i="63"/>
  <c r="K75" i="63" s="1"/>
  <c r="K82" i="63" s="1"/>
  <c r="AI8" i="63"/>
  <c r="AP80" i="62"/>
  <c r="AO80" i="62"/>
  <c r="AN80" i="62"/>
  <c r="AL80" i="62"/>
  <c r="AK80" i="62"/>
  <c r="AH80" i="62"/>
  <c r="AG80" i="62"/>
  <c r="AF80" i="62"/>
  <c r="AD80" i="62"/>
  <c r="AB80" i="62"/>
  <c r="Z80" i="62"/>
  <c r="Y80" i="62"/>
  <c r="X80" i="62"/>
  <c r="W80" i="62"/>
  <c r="V80" i="62"/>
  <c r="U80" i="62"/>
  <c r="T80" i="62"/>
  <c r="S80" i="62"/>
  <c r="R80" i="62"/>
  <c r="Q80" i="62"/>
  <c r="P80" i="62"/>
  <c r="O80" i="62"/>
  <c r="N80" i="62"/>
  <c r="M80" i="62"/>
  <c r="L80" i="62"/>
  <c r="K80" i="62"/>
  <c r="J80" i="62"/>
  <c r="H80" i="62"/>
  <c r="E80" i="62"/>
  <c r="D80" i="62"/>
  <c r="C80" i="62"/>
  <c r="AP79" i="62"/>
  <c r="AN79" i="62"/>
  <c r="AL79" i="62"/>
  <c r="AJ79" i="62"/>
  <c r="AH79" i="62"/>
  <c r="AF79" i="62"/>
  <c r="AD79" i="62"/>
  <c r="AB79" i="62"/>
  <c r="Z79" i="62"/>
  <c r="Y79" i="62"/>
  <c r="F79" i="62"/>
  <c r="E79" i="62"/>
  <c r="D79" i="62"/>
  <c r="C79" i="62"/>
  <c r="AP78" i="62"/>
  <c r="AO78" i="62"/>
  <c r="AL78" i="62"/>
  <c r="AK78" i="62"/>
  <c r="AB78" i="62"/>
  <c r="Z78" i="62"/>
  <c r="Y78" i="62"/>
  <c r="X78" i="62"/>
  <c r="V78" i="62"/>
  <c r="T78" i="62"/>
  <c r="R78" i="62"/>
  <c r="P78" i="62"/>
  <c r="N78" i="62"/>
  <c r="M78" i="62"/>
  <c r="L78" i="62"/>
  <c r="J78" i="62"/>
  <c r="H78" i="62"/>
  <c r="F78" i="62"/>
  <c r="E78" i="62"/>
  <c r="D78" i="62"/>
  <c r="C78" i="62"/>
  <c r="AP77" i="62"/>
  <c r="AO77" i="62"/>
  <c r="AL77" i="62"/>
  <c r="AK77" i="62"/>
  <c r="AH77" i="62"/>
  <c r="AG77" i="62"/>
  <c r="AD77" i="62"/>
  <c r="AB77" i="62"/>
  <c r="Z77" i="62"/>
  <c r="Y77" i="62"/>
  <c r="X77" i="62"/>
  <c r="V77" i="62"/>
  <c r="T77" i="62"/>
  <c r="R77" i="62"/>
  <c r="P77" i="62"/>
  <c r="N77" i="62"/>
  <c r="M77" i="62"/>
  <c r="L77" i="62"/>
  <c r="J77" i="62"/>
  <c r="H77" i="62"/>
  <c r="F77" i="62"/>
  <c r="E77" i="62"/>
  <c r="D77" i="62"/>
  <c r="C77" i="62"/>
  <c r="AP76" i="62"/>
  <c r="AO76" i="62"/>
  <c r="AN76" i="62"/>
  <c r="AL76" i="62"/>
  <c r="AK76" i="62"/>
  <c r="AH76" i="62"/>
  <c r="Y76" i="62"/>
  <c r="E76" i="62"/>
  <c r="D76" i="62"/>
  <c r="C76" i="62"/>
  <c r="D73" i="62"/>
  <c r="C73" i="62"/>
  <c r="Z71" i="62"/>
  <c r="Y71" i="62"/>
  <c r="X71" i="62"/>
  <c r="W71" i="62"/>
  <c r="V71" i="62"/>
  <c r="U71" i="62"/>
  <c r="T71" i="62"/>
  <c r="S71" i="62"/>
  <c r="R71" i="62"/>
  <c r="Q71" i="62"/>
  <c r="P71" i="62"/>
  <c r="O71" i="62"/>
  <c r="N71" i="62"/>
  <c r="M71" i="62"/>
  <c r="L71" i="62"/>
  <c r="K71" i="62"/>
  <c r="J71" i="62"/>
  <c r="I71" i="62"/>
  <c r="H71" i="62"/>
  <c r="G71" i="62"/>
  <c r="F71" i="62"/>
  <c r="E71" i="62"/>
  <c r="AP64" i="62"/>
  <c r="AO64" i="62"/>
  <c r="AR64" i="62" s="1"/>
  <c r="AN64" i="62"/>
  <c r="AM64" i="62"/>
  <c r="AL64" i="62"/>
  <c r="AJ64" i="62"/>
  <c r="AI64" i="62"/>
  <c r="AH64" i="62"/>
  <c r="AG64" i="62"/>
  <c r="AF64" i="62"/>
  <c r="AE64" i="62"/>
  <c r="AD64" i="62"/>
  <c r="AC64" i="62"/>
  <c r="AB64" i="62"/>
  <c r="AA64" i="62"/>
  <c r="Z64" i="62"/>
  <c r="Y64" i="62"/>
  <c r="X64" i="62"/>
  <c r="W64" i="62"/>
  <c r="V64" i="62"/>
  <c r="U64" i="62"/>
  <c r="T64" i="62"/>
  <c r="S64" i="62"/>
  <c r="R64" i="62"/>
  <c r="Q64" i="62"/>
  <c r="P64" i="62"/>
  <c r="O64" i="62"/>
  <c r="N64" i="62"/>
  <c r="M64" i="62"/>
  <c r="L64" i="62"/>
  <c r="K64" i="62"/>
  <c r="J64" i="62"/>
  <c r="I64" i="62"/>
  <c r="H64" i="62"/>
  <c r="G64" i="62"/>
  <c r="F64" i="62"/>
  <c r="E64" i="62"/>
  <c r="D64" i="62"/>
  <c r="I63" i="62"/>
  <c r="G63" i="62"/>
  <c r="G80" i="62" s="1"/>
  <c r="AA62" i="62"/>
  <c r="AC61" i="62"/>
  <c r="AE60" i="62"/>
  <c r="AC60" i="62"/>
  <c r="AA60" i="62"/>
  <c r="AD59" i="62"/>
  <c r="AD76" i="62" s="1"/>
  <c r="AC59" i="62"/>
  <c r="AB59" i="62"/>
  <c r="AB76" i="62" s="1"/>
  <c r="AA59" i="62"/>
  <c r="AA57" i="62" s="1"/>
  <c r="X59" i="62"/>
  <c r="X57" i="62" s="1"/>
  <c r="W59" i="62"/>
  <c r="W57" i="62" s="1"/>
  <c r="V59" i="62"/>
  <c r="U59" i="62"/>
  <c r="T59" i="62"/>
  <c r="T76" i="62" s="1"/>
  <c r="S59" i="62"/>
  <c r="P59" i="62"/>
  <c r="P57" i="62" s="1"/>
  <c r="O59" i="62"/>
  <c r="O57" i="62" s="1"/>
  <c r="L59" i="62"/>
  <c r="L76" i="62" s="1"/>
  <c r="K59" i="62"/>
  <c r="J59" i="62"/>
  <c r="J76" i="62" s="1"/>
  <c r="I59" i="62"/>
  <c r="H59" i="62"/>
  <c r="H57" i="62" s="1"/>
  <c r="G59" i="62"/>
  <c r="F59" i="62"/>
  <c r="F57" i="62" s="1"/>
  <c r="AP57" i="62"/>
  <c r="AO57" i="62"/>
  <c r="AR57" i="62" s="1"/>
  <c r="AN57" i="62"/>
  <c r="AM57" i="62"/>
  <c r="AQ57" i="62" s="1"/>
  <c r="AI57" i="62"/>
  <c r="AH57" i="62"/>
  <c r="AG57" i="62"/>
  <c r="AF57" i="62"/>
  <c r="AE57" i="62"/>
  <c r="AB57" i="62"/>
  <c r="Z57" i="62"/>
  <c r="Y57" i="62"/>
  <c r="V57" i="62"/>
  <c r="U57" i="62"/>
  <c r="T57" i="62"/>
  <c r="S57" i="62"/>
  <c r="R57" i="62"/>
  <c r="Q57" i="62"/>
  <c r="N57" i="62"/>
  <c r="M57" i="62"/>
  <c r="L57" i="62"/>
  <c r="K57" i="62"/>
  <c r="J57" i="62"/>
  <c r="E57" i="62"/>
  <c r="D57" i="62"/>
  <c r="Z50" i="62"/>
  <c r="Y50" i="62"/>
  <c r="X50" i="62"/>
  <c r="W50" i="62"/>
  <c r="V50" i="62"/>
  <c r="U50" i="62"/>
  <c r="T50" i="62"/>
  <c r="S50" i="62"/>
  <c r="R50" i="62"/>
  <c r="Q50" i="62"/>
  <c r="P50" i="62"/>
  <c r="O50" i="62"/>
  <c r="N50" i="62"/>
  <c r="M50" i="62"/>
  <c r="L50" i="62"/>
  <c r="K50" i="62"/>
  <c r="J50" i="62"/>
  <c r="I50" i="62"/>
  <c r="H50" i="62"/>
  <c r="G50" i="62"/>
  <c r="F50" i="62"/>
  <c r="E50" i="62"/>
  <c r="D50" i="62"/>
  <c r="AG48" i="62"/>
  <c r="AE48" i="62"/>
  <c r="AC48" i="62"/>
  <c r="AC79" i="62" s="1"/>
  <c r="AA48" i="62"/>
  <c r="W48" i="62"/>
  <c r="Q48" i="62"/>
  <c r="P48" i="62"/>
  <c r="O48" i="62"/>
  <c r="L48" i="62"/>
  <c r="L43" i="62" s="1"/>
  <c r="K48" i="62"/>
  <c r="J48" i="62"/>
  <c r="I48" i="62"/>
  <c r="H48" i="62"/>
  <c r="G48" i="62"/>
  <c r="AM43" i="62"/>
  <c r="AI47" i="62"/>
  <c r="AG47" i="62"/>
  <c r="AG43" i="62" s="1"/>
  <c r="AE47" i="62"/>
  <c r="AC47" i="62"/>
  <c r="AA47" i="62"/>
  <c r="AI46" i="62"/>
  <c r="AE46" i="62"/>
  <c r="AC46" i="62"/>
  <c r="AA46" i="62"/>
  <c r="AI45" i="62"/>
  <c r="AE45" i="62"/>
  <c r="AE43" i="62" s="1"/>
  <c r="AC45" i="62"/>
  <c r="AA45" i="62"/>
  <c r="Z45" i="62"/>
  <c r="Z76" i="62" s="1"/>
  <c r="W45" i="62"/>
  <c r="W43" i="62" s="1"/>
  <c r="U45" i="62"/>
  <c r="S45" i="62"/>
  <c r="P45" i="62"/>
  <c r="P43" i="62" s="1"/>
  <c r="O45" i="62"/>
  <c r="O43" i="62" s="1"/>
  <c r="N45" i="62"/>
  <c r="N76" i="62" s="1"/>
  <c r="M45" i="62"/>
  <c r="K45" i="62"/>
  <c r="I45" i="62"/>
  <c r="I43" i="62" s="1"/>
  <c r="H45" i="62"/>
  <c r="G45" i="62"/>
  <c r="G43" i="62" s="1"/>
  <c r="AP43" i="62"/>
  <c r="AO43" i="62"/>
  <c r="AR43" i="62" s="1"/>
  <c r="AN43" i="62"/>
  <c r="AK43" i="62"/>
  <c r="AH43" i="62"/>
  <c r="AF43" i="62"/>
  <c r="AD43" i="62"/>
  <c r="AB43" i="62"/>
  <c r="Z43" i="62"/>
  <c r="Y43" i="62"/>
  <c r="X43" i="62"/>
  <c r="V43" i="62"/>
  <c r="U43" i="62"/>
  <c r="T43" i="62"/>
  <c r="S43" i="62"/>
  <c r="R43" i="62"/>
  <c r="Q43" i="62"/>
  <c r="N43" i="62"/>
  <c r="M43" i="62"/>
  <c r="J43" i="62"/>
  <c r="H43" i="62"/>
  <c r="F43" i="62"/>
  <c r="E43" i="62"/>
  <c r="AI42" i="62"/>
  <c r="AE42" i="62"/>
  <c r="AC42" i="62"/>
  <c r="AI41" i="62"/>
  <c r="AE41" i="62"/>
  <c r="W41" i="62"/>
  <c r="O41" i="62"/>
  <c r="O36" i="62" s="1"/>
  <c r="AJ40" i="62"/>
  <c r="AI40" i="62"/>
  <c r="AH40" i="62"/>
  <c r="AH78" i="62" s="1"/>
  <c r="AF40" i="62"/>
  <c r="AE40" i="62" s="1"/>
  <c r="AD40" i="62"/>
  <c r="AD78" i="62" s="1"/>
  <c r="AC40" i="62"/>
  <c r="AA40" i="62"/>
  <c r="W40" i="62"/>
  <c r="W78" i="62" s="1"/>
  <c r="U40" i="62"/>
  <c r="U78" i="62" s="1"/>
  <c r="S40" i="62"/>
  <c r="S78" i="62" s="1"/>
  <c r="Q40" i="62"/>
  <c r="Q78" i="62" s="1"/>
  <c r="O40" i="62"/>
  <c r="O78" i="62" s="1"/>
  <c r="K40" i="62"/>
  <c r="K78" i="62" s="1"/>
  <c r="I40" i="62"/>
  <c r="I78" i="62" s="1"/>
  <c r="G40" i="62"/>
  <c r="G78" i="62" s="1"/>
  <c r="AJ39" i="62"/>
  <c r="AI39" i="62"/>
  <c r="AF39" i="62"/>
  <c r="AF77" i="62" s="1"/>
  <c r="AE39" i="62"/>
  <c r="AC39" i="62"/>
  <c r="AA39" i="62"/>
  <c r="W39" i="62"/>
  <c r="W77" i="62" s="1"/>
  <c r="U39" i="62"/>
  <c r="U77" i="62" s="1"/>
  <c r="S39" i="62"/>
  <c r="S77" i="62" s="1"/>
  <c r="Q39" i="62"/>
  <c r="Q77" i="62" s="1"/>
  <c r="O39" i="62"/>
  <c r="O77" i="62" s="1"/>
  <c r="K39" i="62"/>
  <c r="K77" i="62" s="1"/>
  <c r="I39" i="62"/>
  <c r="G39" i="62"/>
  <c r="G77" i="62" s="1"/>
  <c r="AM36" i="62"/>
  <c r="AJ38" i="62"/>
  <c r="AI38" i="62"/>
  <c r="AI36" i="62" s="1"/>
  <c r="AF38" i="62"/>
  <c r="AE38" i="62" s="1"/>
  <c r="AC38" i="62"/>
  <c r="AA38" i="62"/>
  <c r="AA36" i="62" s="1"/>
  <c r="W38" i="62"/>
  <c r="V38" i="62"/>
  <c r="V36" i="62" s="1"/>
  <c r="U38" i="62"/>
  <c r="U36" i="62" s="1"/>
  <c r="S38" i="62"/>
  <c r="S36" i="62" s="1"/>
  <c r="Q38" i="62"/>
  <c r="Q36" i="62" s="1"/>
  <c r="O38" i="62"/>
  <c r="M38" i="62"/>
  <c r="M36" i="62" s="1"/>
  <c r="K38" i="62"/>
  <c r="I38" i="62"/>
  <c r="G38" i="62"/>
  <c r="AP36" i="62"/>
  <c r="AO36" i="62"/>
  <c r="AR36" i="62" s="1"/>
  <c r="AN36" i="62"/>
  <c r="AH36" i="62"/>
  <c r="AG36" i="62"/>
  <c r="AB36" i="62"/>
  <c r="Z36" i="62"/>
  <c r="Y36" i="62"/>
  <c r="X36" i="62"/>
  <c r="T36" i="62"/>
  <c r="R36" i="62"/>
  <c r="P36" i="62"/>
  <c r="N36" i="62"/>
  <c r="L36" i="62"/>
  <c r="K36" i="62"/>
  <c r="J36" i="62"/>
  <c r="H36" i="62"/>
  <c r="F36" i="62"/>
  <c r="E36" i="62"/>
  <c r="D36" i="62"/>
  <c r="AI34" i="62"/>
  <c r="AI32" i="62"/>
  <c r="AM29" i="62"/>
  <c r="AI31" i="62"/>
  <c r="AP29" i="62"/>
  <c r="AO29" i="62"/>
  <c r="AR29" i="62" s="1"/>
  <c r="AN29" i="62"/>
  <c r="AL29" i="62"/>
  <c r="AJ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9" i="62"/>
  <c r="AM80" i="62"/>
  <c r="AJ28" i="62"/>
  <c r="AJ80" i="62" s="1"/>
  <c r="AI28" i="62"/>
  <c r="AI80" i="62" s="1"/>
  <c r="AE28" i="62"/>
  <c r="AE80" i="62" s="1"/>
  <c r="AC28" i="62"/>
  <c r="AA28" i="62"/>
  <c r="AA80" i="62" s="1"/>
  <c r="AM79" i="62"/>
  <c r="AK27" i="62"/>
  <c r="AK79" i="62" s="1"/>
  <c r="AI27" i="62"/>
  <c r="AG27" i="62"/>
  <c r="AE27" i="62"/>
  <c r="X27" i="62"/>
  <c r="W27" i="62"/>
  <c r="V27" i="62"/>
  <c r="V79" i="62" s="1"/>
  <c r="U27" i="62"/>
  <c r="T27" i="62"/>
  <c r="T22" i="62" s="1"/>
  <c r="S27" i="62"/>
  <c r="S79" i="62" s="1"/>
  <c r="R27" i="62"/>
  <c r="R79" i="62" s="1"/>
  <c r="Q27" i="62"/>
  <c r="Q79" i="62" s="1"/>
  <c r="P27" i="62"/>
  <c r="P22" i="62" s="1"/>
  <c r="O27" i="62"/>
  <c r="N27" i="62"/>
  <c r="N79" i="62" s="1"/>
  <c r="M27" i="62"/>
  <c r="M22" i="62" s="1"/>
  <c r="L27" i="62"/>
  <c r="L22" i="62" s="1"/>
  <c r="K27" i="62"/>
  <c r="J27" i="62"/>
  <c r="J79" i="62" s="1"/>
  <c r="I27" i="62"/>
  <c r="I22" i="62" s="1"/>
  <c r="H27" i="62"/>
  <c r="H22" i="62" s="1"/>
  <c r="G27" i="62"/>
  <c r="G79" i="62" s="1"/>
  <c r="AN78" i="62"/>
  <c r="AM78" i="62"/>
  <c r="AJ26" i="62"/>
  <c r="AJ78" i="62" s="1"/>
  <c r="AI26" i="62"/>
  <c r="AG26" i="62"/>
  <c r="AE26" i="62"/>
  <c r="AC26" i="62"/>
  <c r="AA26" i="62"/>
  <c r="AN22" i="62"/>
  <c r="AJ25" i="62"/>
  <c r="AI25" i="62"/>
  <c r="AI22" i="62" s="1"/>
  <c r="AE25" i="62"/>
  <c r="AC25" i="62"/>
  <c r="AC77" i="62" s="1"/>
  <c r="AA25" i="62"/>
  <c r="AA22" i="62" s="1"/>
  <c r="AJ24" i="62"/>
  <c r="AI24" i="62"/>
  <c r="AG24" i="62"/>
  <c r="AE24" i="62"/>
  <c r="AE22" i="62" s="1"/>
  <c r="AC24" i="62"/>
  <c r="AC22" i="62" s="1"/>
  <c r="AA24" i="62"/>
  <c r="X24" i="62"/>
  <c r="W24" i="62"/>
  <c r="W76" i="62" s="1"/>
  <c r="V24" i="62"/>
  <c r="V76" i="62" s="1"/>
  <c r="U24" i="62"/>
  <c r="S24" i="62"/>
  <c r="R24" i="62"/>
  <c r="R76" i="62" s="1"/>
  <c r="Q24" i="62"/>
  <c r="Q22" i="62" s="1"/>
  <c r="F24" i="62"/>
  <c r="AP22" i="62"/>
  <c r="AM22" i="62"/>
  <c r="AL22" i="62"/>
  <c r="AH22" i="62"/>
  <c r="AF22" i="62"/>
  <c r="AD22" i="62"/>
  <c r="AB22" i="62"/>
  <c r="Z22" i="62"/>
  <c r="Y22" i="62"/>
  <c r="W22" i="62"/>
  <c r="S22" i="62"/>
  <c r="O22" i="62"/>
  <c r="K22" i="62"/>
  <c r="G22" i="62"/>
  <c r="F22" i="62"/>
  <c r="E22" i="62"/>
  <c r="AI17" i="62"/>
  <c r="AI15" i="62" s="1"/>
  <c r="AG17" i="62"/>
  <c r="AG15" i="62" s="1"/>
  <c r="AE17" i="62"/>
  <c r="AE15" i="62" s="1"/>
  <c r="AC17" i="62"/>
  <c r="AC15" i="62" s="1"/>
  <c r="S17" i="62"/>
  <c r="AP15" i="62"/>
  <c r="AO15" i="62"/>
  <c r="AR15" i="62" s="1"/>
  <c r="AN15" i="62"/>
  <c r="AM15" i="62"/>
  <c r="AL15" i="62"/>
  <c r="AJ15" i="62"/>
  <c r="AH15" i="62"/>
  <c r="AF15" i="62"/>
  <c r="AD15" i="62"/>
  <c r="AB15" i="62"/>
  <c r="AA15" i="62"/>
  <c r="Z15" i="62"/>
  <c r="Y15" i="62"/>
  <c r="X15" i="62"/>
  <c r="W15" i="62"/>
  <c r="V15" i="62"/>
  <c r="U15" i="62"/>
  <c r="T15" i="62"/>
  <c r="R15" i="62"/>
  <c r="Q15" i="62"/>
  <c r="P15" i="62"/>
  <c r="O15" i="62"/>
  <c r="N15" i="62"/>
  <c r="M15" i="62"/>
  <c r="L15" i="62"/>
  <c r="K15" i="62"/>
  <c r="J15" i="62"/>
  <c r="I15" i="62"/>
  <c r="H15" i="62"/>
  <c r="G15" i="62"/>
  <c r="F15" i="62"/>
  <c r="E15" i="62"/>
  <c r="D15" i="62"/>
  <c r="C15" i="62"/>
  <c r="F14" i="62"/>
  <c r="F80" i="62" s="1"/>
  <c r="AI12" i="62"/>
  <c r="AI78" i="62" s="1"/>
  <c r="AE12" i="62"/>
  <c r="AM77" i="62"/>
  <c r="AI11" i="62"/>
  <c r="AE11" i="62"/>
  <c r="AE77" i="62" s="1"/>
  <c r="AM76" i="62"/>
  <c r="AI10" i="62"/>
  <c r="AG10" i="62"/>
  <c r="AF10" i="62"/>
  <c r="AF76" i="62" s="1"/>
  <c r="O10" i="62"/>
  <c r="M10" i="62"/>
  <c r="M76" i="62" s="1"/>
  <c r="K10" i="62"/>
  <c r="K76" i="62" s="1"/>
  <c r="I10" i="62"/>
  <c r="I8" i="62" s="1"/>
  <c r="G10" i="62"/>
  <c r="AP8" i="62"/>
  <c r="AP75" i="62" s="1"/>
  <c r="AP82" i="62" s="1"/>
  <c r="AO8" i="62"/>
  <c r="AR8" i="62" s="1"/>
  <c r="AN8" i="62"/>
  <c r="AM8" i="62"/>
  <c r="AH8" i="62"/>
  <c r="AD8" i="62"/>
  <c r="AC8" i="62"/>
  <c r="AB8" i="62"/>
  <c r="AA8" i="62"/>
  <c r="Z8" i="62"/>
  <c r="Y8" i="62"/>
  <c r="X8" i="62"/>
  <c r="W8" i="62"/>
  <c r="V8" i="62"/>
  <c r="U8" i="62"/>
  <c r="T8" i="62"/>
  <c r="S8" i="62"/>
  <c r="R8" i="62"/>
  <c r="Q8" i="62"/>
  <c r="P8" i="62"/>
  <c r="O8" i="62"/>
  <c r="N8" i="62"/>
  <c r="M8" i="62"/>
  <c r="L8" i="62"/>
  <c r="J8" i="62"/>
  <c r="H8" i="62"/>
  <c r="G8" i="62"/>
  <c r="E8" i="62"/>
  <c r="AM13" i="61"/>
  <c r="AM11" i="61"/>
  <c r="AM10" i="61"/>
  <c r="AM47" i="61"/>
  <c r="AM46" i="61"/>
  <c r="AM45" i="61"/>
  <c r="AN40" i="61"/>
  <c r="AN39" i="61"/>
  <c r="AN38" i="61"/>
  <c r="AM40" i="61"/>
  <c r="AM39" i="61"/>
  <c r="AM38" i="61"/>
  <c r="AM34" i="61"/>
  <c r="AM32" i="61"/>
  <c r="AM31" i="61"/>
  <c r="AO27" i="61"/>
  <c r="AO22" i="61" s="1"/>
  <c r="AN26" i="61"/>
  <c r="AN25" i="61"/>
  <c r="AN24" i="61"/>
  <c r="AM28" i="61"/>
  <c r="AM80" i="61" s="1"/>
  <c r="AM27" i="61"/>
  <c r="AM26" i="61"/>
  <c r="AM25" i="61"/>
  <c r="AM24" i="61"/>
  <c r="AM17" i="61"/>
  <c r="AM15" i="61" s="1"/>
  <c r="AN80" i="61"/>
  <c r="AO80" i="61"/>
  <c r="AP80" i="61"/>
  <c r="AM79" i="61"/>
  <c r="AN79" i="61"/>
  <c r="AP79" i="61"/>
  <c r="AO78" i="61"/>
  <c r="AP78" i="61"/>
  <c r="AO77" i="61"/>
  <c r="AP77" i="61"/>
  <c r="AO76" i="61"/>
  <c r="AP76" i="61"/>
  <c r="AN64" i="61"/>
  <c r="AO64" i="61"/>
  <c r="AR64" i="61" s="1"/>
  <c r="AP64" i="61"/>
  <c r="AM64" i="61"/>
  <c r="AN57" i="61"/>
  <c r="AO57" i="61"/>
  <c r="AR57" i="61" s="1"/>
  <c r="AP57" i="61"/>
  <c r="AM57" i="61"/>
  <c r="AN43" i="61"/>
  <c r="AO43" i="61"/>
  <c r="AP43" i="61"/>
  <c r="AO36" i="61"/>
  <c r="AR36" i="61" s="1"/>
  <c r="AP36" i="61"/>
  <c r="AN29" i="61"/>
  <c r="AO29" i="61"/>
  <c r="AR29" i="61" s="1"/>
  <c r="AP29" i="61"/>
  <c r="AM29" i="61"/>
  <c r="AP22" i="61"/>
  <c r="AN15" i="61"/>
  <c r="AO15" i="61"/>
  <c r="AR15" i="61" s="1"/>
  <c r="AP15" i="61"/>
  <c r="AN8" i="61"/>
  <c r="AO8" i="61"/>
  <c r="AR8" i="61" s="1"/>
  <c r="AP8" i="61"/>
  <c r="AJ28" i="61"/>
  <c r="AJ80" i="61" s="1"/>
  <c r="AI28" i="61"/>
  <c r="AI47" i="61"/>
  <c r="AI46" i="61"/>
  <c r="AI45" i="61"/>
  <c r="AI43" i="61" s="1"/>
  <c r="AJ26" i="61"/>
  <c r="AJ25" i="61"/>
  <c r="AJ77" i="61" s="1"/>
  <c r="AJ24" i="61"/>
  <c r="AI27" i="61"/>
  <c r="AI26" i="61"/>
  <c r="AI25" i="61"/>
  <c r="AI24" i="61"/>
  <c r="AK27" i="61"/>
  <c r="AK22" i="61" s="1"/>
  <c r="AI10" i="61"/>
  <c r="AI12" i="61"/>
  <c r="AI78" i="61" s="1"/>
  <c r="AI11" i="61"/>
  <c r="AI34" i="61"/>
  <c r="AI32" i="61"/>
  <c r="AI31" i="61"/>
  <c r="AJ40" i="61"/>
  <c r="AJ39" i="61"/>
  <c r="AJ38" i="61"/>
  <c r="AI42" i="61"/>
  <c r="AI41" i="61"/>
  <c r="AI40" i="61"/>
  <c r="AI39" i="61"/>
  <c r="AI38" i="61"/>
  <c r="AI17" i="61"/>
  <c r="AL80" i="61"/>
  <c r="AK80" i="61"/>
  <c r="AH80" i="61"/>
  <c r="AG80" i="61"/>
  <c r="AF80" i="61"/>
  <c r="AD80" i="61"/>
  <c r="AB80" i="61"/>
  <c r="Z80" i="61"/>
  <c r="Y80" i="61"/>
  <c r="X80" i="61"/>
  <c r="W80" i="61"/>
  <c r="V80" i="61"/>
  <c r="U80" i="61"/>
  <c r="T80" i="61"/>
  <c r="S80" i="61"/>
  <c r="R80" i="61"/>
  <c r="Q80" i="61"/>
  <c r="P80" i="61"/>
  <c r="O80" i="61"/>
  <c r="N80" i="61"/>
  <c r="M80" i="61"/>
  <c r="L80" i="61"/>
  <c r="K80" i="61"/>
  <c r="J80" i="61"/>
  <c r="H80" i="61"/>
  <c r="E80" i="61"/>
  <c r="D80" i="61"/>
  <c r="C80" i="61"/>
  <c r="AL79" i="61"/>
  <c r="AJ79" i="61"/>
  <c r="AH79" i="61"/>
  <c r="AF79" i="61"/>
  <c r="AD79" i="61"/>
  <c r="AB79" i="61"/>
  <c r="Z79" i="61"/>
  <c r="Y79" i="61"/>
  <c r="F79" i="61"/>
  <c r="E79" i="61"/>
  <c r="D79" i="61"/>
  <c r="C79" i="61"/>
  <c r="AL78" i="61"/>
  <c r="AK78" i="61"/>
  <c r="AB78" i="61"/>
  <c r="Z78" i="61"/>
  <c r="Y78" i="61"/>
  <c r="X78" i="61"/>
  <c r="V78" i="61"/>
  <c r="T78" i="61"/>
  <c r="R78" i="61"/>
  <c r="P78" i="61"/>
  <c r="N78" i="61"/>
  <c r="M78" i="61"/>
  <c r="L78" i="61"/>
  <c r="J78" i="61"/>
  <c r="H78" i="61"/>
  <c r="F78" i="61"/>
  <c r="E78" i="61"/>
  <c r="D78" i="61"/>
  <c r="C78" i="61"/>
  <c r="AL77" i="61"/>
  <c r="AK77" i="61"/>
  <c r="AH77" i="61"/>
  <c r="AG77" i="61"/>
  <c r="AD77" i="61"/>
  <c r="AB77" i="61"/>
  <c r="Z77" i="61"/>
  <c r="Y77" i="61"/>
  <c r="X77" i="61"/>
  <c r="V77" i="61"/>
  <c r="T77" i="61"/>
  <c r="R77" i="61"/>
  <c r="P77" i="61"/>
  <c r="N77" i="61"/>
  <c r="M77" i="61"/>
  <c r="L77" i="61"/>
  <c r="J77" i="61"/>
  <c r="H77" i="61"/>
  <c r="F77" i="61"/>
  <c r="E77" i="61"/>
  <c r="D77" i="61"/>
  <c r="C77" i="61"/>
  <c r="AL76" i="61"/>
  <c r="AK76" i="61"/>
  <c r="AH76" i="61"/>
  <c r="Y76" i="61"/>
  <c r="E76" i="61"/>
  <c r="D76" i="61"/>
  <c r="C76" i="61"/>
  <c r="D73" i="61"/>
  <c r="C73" i="61"/>
  <c r="Z71" i="61"/>
  <c r="Y71" i="61"/>
  <c r="X71" i="61"/>
  <c r="W71" i="61"/>
  <c r="V71" i="61"/>
  <c r="U71" i="61"/>
  <c r="T71" i="61"/>
  <c r="S71" i="61"/>
  <c r="R71" i="61"/>
  <c r="Q71" i="61"/>
  <c r="P71" i="61"/>
  <c r="O71" i="61"/>
  <c r="N71" i="61"/>
  <c r="M71" i="61"/>
  <c r="L71" i="61"/>
  <c r="K71" i="61"/>
  <c r="J71" i="61"/>
  <c r="I71" i="61"/>
  <c r="H71" i="61"/>
  <c r="G71" i="61"/>
  <c r="F71" i="61"/>
  <c r="E71" i="61"/>
  <c r="AL64" i="61"/>
  <c r="AJ64" i="61"/>
  <c r="AI64" i="61"/>
  <c r="AH64" i="61"/>
  <c r="AG64" i="61"/>
  <c r="AF64" i="61"/>
  <c r="AE64" i="61"/>
  <c r="AD64" i="61"/>
  <c r="AC64" i="61"/>
  <c r="AB64" i="61"/>
  <c r="AA64" i="61"/>
  <c r="Z64" i="61"/>
  <c r="Y64" i="61"/>
  <c r="X64" i="61"/>
  <c r="W64" i="61"/>
  <c r="V64" i="61"/>
  <c r="U64" i="61"/>
  <c r="T64" i="61"/>
  <c r="S64" i="61"/>
  <c r="R64" i="61"/>
  <c r="Q64" i="61"/>
  <c r="P64" i="61"/>
  <c r="O64" i="61"/>
  <c r="N64" i="61"/>
  <c r="M64" i="61"/>
  <c r="L64" i="61"/>
  <c r="K64" i="61"/>
  <c r="J64" i="61"/>
  <c r="I64" i="61"/>
  <c r="H64" i="61"/>
  <c r="G64" i="61"/>
  <c r="F64" i="61"/>
  <c r="E64" i="61"/>
  <c r="D64" i="61"/>
  <c r="I63" i="61"/>
  <c r="I80" i="61" s="1"/>
  <c r="G63" i="61"/>
  <c r="G80" i="61" s="1"/>
  <c r="AA62" i="61"/>
  <c r="AC61" i="61"/>
  <c r="AE60" i="61"/>
  <c r="AC60" i="61"/>
  <c r="AA60" i="61"/>
  <c r="AD59" i="61"/>
  <c r="AD57" i="61" s="1"/>
  <c r="AC59" i="61"/>
  <c r="AC57" i="61" s="1"/>
  <c r="AB59" i="61"/>
  <c r="AB76" i="61" s="1"/>
  <c r="AA59" i="61"/>
  <c r="X59" i="61"/>
  <c r="W59" i="61"/>
  <c r="V59" i="61"/>
  <c r="U59" i="61"/>
  <c r="T59" i="61"/>
  <c r="T76" i="61" s="1"/>
  <c r="S59" i="61"/>
  <c r="P59" i="61"/>
  <c r="O59" i="61"/>
  <c r="O57" i="61" s="1"/>
  <c r="L59" i="61"/>
  <c r="L76" i="61" s="1"/>
  <c r="K59" i="61"/>
  <c r="J59" i="61"/>
  <c r="J76" i="61" s="1"/>
  <c r="I59" i="61"/>
  <c r="H59" i="61"/>
  <c r="H57" i="61" s="1"/>
  <c r="G59" i="61"/>
  <c r="G57" i="61" s="1"/>
  <c r="F59" i="61"/>
  <c r="F57" i="61" s="1"/>
  <c r="AI57" i="61"/>
  <c r="AH57" i="61"/>
  <c r="AG57" i="61"/>
  <c r="AF57" i="61"/>
  <c r="AE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N57" i="61"/>
  <c r="M57" i="61"/>
  <c r="L57" i="61"/>
  <c r="K57" i="61"/>
  <c r="J57" i="61"/>
  <c r="E57" i="61"/>
  <c r="D57" i="61"/>
  <c r="AR50" i="61"/>
  <c r="Z50" i="61"/>
  <c r="Y50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D50" i="61"/>
  <c r="AG48" i="61"/>
  <c r="AE48" i="61"/>
  <c r="AC48" i="61"/>
  <c r="AA48" i="61"/>
  <c r="W48" i="61"/>
  <c r="Q48" i="61"/>
  <c r="Q43" i="61" s="1"/>
  <c r="P48" i="61"/>
  <c r="O48" i="61"/>
  <c r="L48" i="61"/>
  <c r="L43" i="61" s="1"/>
  <c r="K48" i="61"/>
  <c r="J48" i="61"/>
  <c r="J43" i="61" s="1"/>
  <c r="I48" i="61"/>
  <c r="H48" i="61"/>
  <c r="G48" i="61"/>
  <c r="G43" i="61" s="1"/>
  <c r="AG47" i="61"/>
  <c r="AE47" i="61"/>
  <c r="AC47" i="61"/>
  <c r="AA47" i="61"/>
  <c r="AE46" i="61"/>
  <c r="AE43" i="61" s="1"/>
  <c r="AC46" i="61"/>
  <c r="AA46" i="61"/>
  <c r="AE45" i="61"/>
  <c r="AC45" i="61"/>
  <c r="AA45" i="61"/>
  <c r="Z45" i="61"/>
  <c r="Z76" i="61" s="1"/>
  <c r="W45" i="61"/>
  <c r="W43" i="61" s="1"/>
  <c r="U45" i="61"/>
  <c r="U43" i="61" s="1"/>
  <c r="S45" i="61"/>
  <c r="P45" i="61"/>
  <c r="P43" i="61" s="1"/>
  <c r="O45" i="61"/>
  <c r="N45" i="61"/>
  <c r="N76" i="61" s="1"/>
  <c r="M45" i="61"/>
  <c r="M43" i="61" s="1"/>
  <c r="K45" i="61"/>
  <c r="K43" i="61" s="1"/>
  <c r="I45" i="61"/>
  <c r="H45" i="61"/>
  <c r="H43" i="61" s="1"/>
  <c r="G45" i="61"/>
  <c r="AK43" i="61"/>
  <c r="AH43" i="61"/>
  <c r="AF43" i="61"/>
  <c r="AD43" i="61"/>
  <c r="AB43" i="61"/>
  <c r="Y43" i="61"/>
  <c r="X43" i="61"/>
  <c r="V43" i="61"/>
  <c r="T43" i="61"/>
  <c r="S43" i="61"/>
  <c r="R43" i="61"/>
  <c r="O43" i="61"/>
  <c r="F43" i="61"/>
  <c r="E43" i="61"/>
  <c r="AE42" i="61"/>
  <c r="AC42" i="61"/>
  <c r="AE41" i="61"/>
  <c r="W41" i="61"/>
  <c r="O41" i="61"/>
  <c r="AH40" i="61"/>
  <c r="AH78" i="61" s="1"/>
  <c r="AF40" i="61"/>
  <c r="AF78" i="61" s="1"/>
  <c r="AD40" i="61"/>
  <c r="AD36" i="61" s="1"/>
  <c r="AC40" i="61"/>
  <c r="AA40" i="61"/>
  <c r="W40" i="61"/>
  <c r="W78" i="61" s="1"/>
  <c r="U40" i="61"/>
  <c r="S40" i="61"/>
  <c r="S78" i="61" s="1"/>
  <c r="Q40" i="61"/>
  <c r="Q78" i="61" s="1"/>
  <c r="O40" i="61"/>
  <c r="O78" i="61" s="1"/>
  <c r="K40" i="61"/>
  <c r="K78" i="61" s="1"/>
  <c r="I40" i="61"/>
  <c r="I78" i="61" s="1"/>
  <c r="G40" i="61"/>
  <c r="G78" i="61" s="1"/>
  <c r="AF39" i="61"/>
  <c r="AF77" i="61" s="1"/>
  <c r="AC39" i="61"/>
  <c r="AA39" i="61"/>
  <c r="W39" i="61"/>
  <c r="W77" i="61" s="1"/>
  <c r="U39" i="61"/>
  <c r="U77" i="61" s="1"/>
  <c r="S39" i="61"/>
  <c r="S77" i="61" s="1"/>
  <c r="Q39" i="61"/>
  <c r="Q77" i="61" s="1"/>
  <c r="O39" i="61"/>
  <c r="O77" i="61" s="1"/>
  <c r="K39" i="61"/>
  <c r="K77" i="61" s="1"/>
  <c r="I39" i="61"/>
  <c r="I77" i="61" s="1"/>
  <c r="G39" i="61"/>
  <c r="G77" i="61" s="1"/>
  <c r="AF38" i="61"/>
  <c r="AE38" i="61" s="1"/>
  <c r="AC38" i="61"/>
  <c r="AA38" i="61"/>
  <c r="AA36" i="61" s="1"/>
  <c r="W38" i="61"/>
  <c r="V38" i="61"/>
  <c r="V36" i="61" s="1"/>
  <c r="U38" i="61"/>
  <c r="S38" i="61"/>
  <c r="Q38" i="61"/>
  <c r="Q36" i="61" s="1"/>
  <c r="O38" i="61"/>
  <c r="M38" i="61"/>
  <c r="M36" i="61" s="1"/>
  <c r="K38" i="61"/>
  <c r="K36" i="61" s="1"/>
  <c r="I38" i="61"/>
  <c r="G38" i="61"/>
  <c r="G36" i="61" s="1"/>
  <c r="AH36" i="61"/>
  <c r="AG36" i="61"/>
  <c r="AB36" i="61"/>
  <c r="Z36" i="61"/>
  <c r="Y36" i="61"/>
  <c r="X36" i="61"/>
  <c r="T36" i="61"/>
  <c r="R36" i="61"/>
  <c r="P36" i="61"/>
  <c r="N36" i="61"/>
  <c r="L36" i="61"/>
  <c r="J36" i="61"/>
  <c r="H36" i="61"/>
  <c r="F36" i="61"/>
  <c r="E36" i="61"/>
  <c r="D36" i="61"/>
  <c r="AL29" i="61"/>
  <c r="AJ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9" i="61"/>
  <c r="AE28" i="61"/>
  <c r="AC28" i="61"/>
  <c r="AA28" i="61"/>
  <c r="AA80" i="61" s="1"/>
  <c r="AG27" i="61"/>
  <c r="AE27" i="61"/>
  <c r="AE79" i="61" s="1"/>
  <c r="X27" i="61"/>
  <c r="W27" i="61"/>
  <c r="W79" i="61" s="1"/>
  <c r="V27" i="61"/>
  <c r="V79" i="61" s="1"/>
  <c r="U27" i="61"/>
  <c r="U79" i="61" s="1"/>
  <c r="T27" i="61"/>
  <c r="T22" i="61" s="1"/>
  <c r="S27" i="61"/>
  <c r="S79" i="61" s="1"/>
  <c r="R27" i="61"/>
  <c r="R79" i="61" s="1"/>
  <c r="Q27" i="61"/>
  <c r="Q79" i="61" s="1"/>
  <c r="P27" i="61"/>
  <c r="P22" i="61" s="1"/>
  <c r="O27" i="61"/>
  <c r="O79" i="61" s="1"/>
  <c r="N27" i="61"/>
  <c r="N79" i="61" s="1"/>
  <c r="M27" i="61"/>
  <c r="M79" i="61" s="1"/>
  <c r="L27" i="61"/>
  <c r="L22" i="61" s="1"/>
  <c r="K27" i="61"/>
  <c r="K79" i="61" s="1"/>
  <c r="J27" i="61"/>
  <c r="I27" i="61"/>
  <c r="I79" i="61" s="1"/>
  <c r="H27" i="61"/>
  <c r="H22" i="61" s="1"/>
  <c r="G27" i="61"/>
  <c r="G79" i="61" s="1"/>
  <c r="AG26" i="61"/>
  <c r="AG78" i="61" s="1"/>
  <c r="AE26" i="61"/>
  <c r="AC26" i="61"/>
  <c r="AA26" i="61"/>
  <c r="AA78" i="61" s="1"/>
  <c r="AE25" i="61"/>
  <c r="AC25" i="61"/>
  <c r="AA25" i="61"/>
  <c r="AG24" i="61"/>
  <c r="AE24" i="61"/>
  <c r="AC24" i="61"/>
  <c r="AA24" i="61"/>
  <c r="X24" i="61"/>
  <c r="W24" i="61"/>
  <c r="V24" i="61"/>
  <c r="V76" i="61" s="1"/>
  <c r="U24" i="61"/>
  <c r="S24" i="61"/>
  <c r="R24" i="61"/>
  <c r="R76" i="61" s="1"/>
  <c r="Q24" i="61"/>
  <c r="Q22" i="61" s="1"/>
  <c r="F24" i="61"/>
  <c r="F76" i="61" s="1"/>
  <c r="AL22" i="61"/>
  <c r="AH22" i="61"/>
  <c r="AG22" i="61"/>
  <c r="AF22" i="61"/>
  <c r="AD22" i="61"/>
  <c r="AB22" i="61"/>
  <c r="Z22" i="61"/>
  <c r="Y22" i="61"/>
  <c r="V22" i="61"/>
  <c r="R22" i="61"/>
  <c r="N22" i="61"/>
  <c r="J22" i="61"/>
  <c r="I22" i="61"/>
  <c r="F22" i="61"/>
  <c r="E22" i="61"/>
  <c r="AG17" i="61"/>
  <c r="AE17" i="61"/>
  <c r="AE15" i="61" s="1"/>
  <c r="AC17" i="61"/>
  <c r="AC15" i="61" s="1"/>
  <c r="S17" i="61"/>
  <c r="AL15" i="61"/>
  <c r="AJ15" i="61"/>
  <c r="AI15" i="61"/>
  <c r="AH15" i="61"/>
  <c r="AG15" i="61"/>
  <c r="AF15" i="61"/>
  <c r="AD15" i="61"/>
  <c r="AB15" i="61"/>
  <c r="AA15" i="61"/>
  <c r="Z15" i="61"/>
  <c r="Y15" i="61"/>
  <c r="X15" i="61"/>
  <c r="W15" i="61"/>
  <c r="V15" i="61"/>
  <c r="U15" i="61"/>
  <c r="T15" i="61"/>
  <c r="S15" i="61"/>
  <c r="R15" i="61"/>
  <c r="Q15" i="61"/>
  <c r="P15" i="61"/>
  <c r="O15" i="61"/>
  <c r="N15" i="61"/>
  <c r="M15" i="61"/>
  <c r="L15" i="61"/>
  <c r="K15" i="61"/>
  <c r="J15" i="61"/>
  <c r="I15" i="61"/>
  <c r="H15" i="61"/>
  <c r="G15" i="61"/>
  <c r="F15" i="61"/>
  <c r="E15" i="61"/>
  <c r="D15" i="61"/>
  <c r="C15" i="61"/>
  <c r="C75" i="61" s="1"/>
  <c r="C82" i="61" s="1"/>
  <c r="C85" i="61" s="1"/>
  <c r="F14" i="61"/>
  <c r="F8" i="61" s="1"/>
  <c r="AE12" i="61"/>
  <c r="AE11" i="61"/>
  <c r="AG10" i="61"/>
  <c r="AG76" i="61" s="1"/>
  <c r="AF10" i="61"/>
  <c r="AE10" i="61" s="1"/>
  <c r="O10" i="61"/>
  <c r="M10" i="61"/>
  <c r="K10" i="61"/>
  <c r="K8" i="61" s="1"/>
  <c r="I10" i="61"/>
  <c r="G10" i="61"/>
  <c r="G76" i="61" s="1"/>
  <c r="AH8" i="61"/>
  <c r="AF8" i="61"/>
  <c r="AD8" i="61"/>
  <c r="AC8" i="61"/>
  <c r="AB8" i="61"/>
  <c r="AA8" i="61"/>
  <c r="Z8" i="61"/>
  <c r="Y8" i="61"/>
  <c r="Y75" i="61" s="1"/>
  <c r="Y82" i="61" s="1"/>
  <c r="X8" i="61"/>
  <c r="W8" i="61"/>
  <c r="V8" i="61"/>
  <c r="U8" i="61"/>
  <c r="T8" i="61"/>
  <c r="S8" i="61"/>
  <c r="R8" i="61"/>
  <c r="Q8" i="61"/>
  <c r="P8" i="61"/>
  <c r="O8" i="61"/>
  <c r="N8" i="61"/>
  <c r="L8" i="61"/>
  <c r="J8" i="61"/>
  <c r="I8" i="61"/>
  <c r="H8" i="61"/>
  <c r="E8" i="61"/>
  <c r="AA76" i="61" l="1"/>
  <c r="AM8" i="61"/>
  <c r="L75" i="62"/>
  <c r="L82" i="62" s="1"/>
  <c r="T75" i="62"/>
  <c r="T82" i="62" s="1"/>
  <c r="AB75" i="62"/>
  <c r="AB82" i="62" s="1"/>
  <c r="AG76" i="62"/>
  <c r="AJ36" i="62"/>
  <c r="AQ29" i="63"/>
  <c r="AA75" i="66"/>
  <c r="AA82" i="66" s="1"/>
  <c r="S93" i="67"/>
  <c r="S100" i="67" s="1"/>
  <c r="AE93" i="69"/>
  <c r="AE100" i="69" s="1"/>
  <c r="AI76" i="62"/>
  <c r="AB75" i="61"/>
  <c r="AB82" i="61" s="1"/>
  <c r="M76" i="61"/>
  <c r="AL75" i="61"/>
  <c r="AL82" i="61" s="1"/>
  <c r="AI76" i="61"/>
  <c r="G76" i="62"/>
  <c r="AK22" i="62"/>
  <c r="AK75" i="62" s="1"/>
  <c r="AK82" i="62" s="1"/>
  <c r="U76" i="62"/>
  <c r="G36" i="62"/>
  <c r="AC57" i="62"/>
  <c r="AN75" i="63"/>
  <c r="AN82" i="63" s="1"/>
  <c r="O93" i="70"/>
  <c r="O100" i="70" s="1"/>
  <c r="AQ15" i="62"/>
  <c r="O76" i="61"/>
  <c r="S76" i="61"/>
  <c r="M22" i="61"/>
  <c r="AC36" i="61"/>
  <c r="AG43" i="61"/>
  <c r="AF8" i="62"/>
  <c r="AJ22" i="62"/>
  <c r="AJ75" i="62" s="1"/>
  <c r="AJ82" i="62" s="1"/>
  <c r="AI29" i="62"/>
  <c r="AQ29" i="62" s="1"/>
  <c r="G57" i="62"/>
  <c r="AC93" i="70"/>
  <c r="AC100" i="70" s="1"/>
  <c r="K76" i="61"/>
  <c r="U76" i="61"/>
  <c r="AA77" i="61"/>
  <c r="F8" i="62"/>
  <c r="P75" i="62"/>
  <c r="P82" i="62" s="1"/>
  <c r="AG8" i="62"/>
  <c r="AA77" i="62"/>
  <c r="AE79" i="62"/>
  <c r="K43" i="62"/>
  <c r="AE80" i="61"/>
  <c r="C75" i="62"/>
  <c r="C82" i="62" s="1"/>
  <c r="C85" i="62" s="1"/>
  <c r="AA43" i="61"/>
  <c r="AM78" i="61"/>
  <c r="S76" i="62"/>
  <c r="AG79" i="62"/>
  <c r="AC36" i="62"/>
  <c r="AA79" i="62"/>
  <c r="AI75" i="63"/>
  <c r="AI82" i="63" s="1"/>
  <c r="AD93" i="67"/>
  <c r="AD100" i="67" s="1"/>
  <c r="G75" i="63"/>
  <c r="G82" i="63" s="1"/>
  <c r="G8" i="61"/>
  <c r="U22" i="61"/>
  <c r="W76" i="61"/>
  <c r="J79" i="61"/>
  <c r="AG79" i="61"/>
  <c r="Z43" i="61"/>
  <c r="AA79" i="61"/>
  <c r="AP75" i="61"/>
  <c r="AP82" i="61" s="1"/>
  <c r="AQ57" i="61"/>
  <c r="AM43" i="61"/>
  <c r="O76" i="62"/>
  <c r="AC76" i="62"/>
  <c r="F76" i="62"/>
  <c r="AA76" i="62"/>
  <c r="K79" i="62"/>
  <c r="W36" i="62"/>
  <c r="AQ22" i="63"/>
  <c r="I75" i="66"/>
  <c r="I82" i="66" s="1"/>
  <c r="AI93" i="68"/>
  <c r="AI100" i="68" s="1"/>
  <c r="AE54" i="68"/>
  <c r="AQ54" i="68"/>
  <c r="AD75" i="61"/>
  <c r="AD82" i="61" s="1"/>
  <c r="AE22" i="61"/>
  <c r="X22" i="61"/>
  <c r="U36" i="61"/>
  <c r="U75" i="61" s="1"/>
  <c r="U82" i="61" s="1"/>
  <c r="U78" i="61"/>
  <c r="AC43" i="61"/>
  <c r="AR43" i="61"/>
  <c r="AH75" i="61"/>
  <c r="AH82" i="61" s="1"/>
  <c r="AC76" i="61"/>
  <c r="AF36" i="61"/>
  <c r="AF75" i="61" s="1"/>
  <c r="AF82" i="61" s="1"/>
  <c r="I36" i="61"/>
  <c r="W36" i="61"/>
  <c r="AE39" i="61"/>
  <c r="AE77" i="61" s="1"/>
  <c r="AE40" i="61"/>
  <c r="AE78" i="61" s="1"/>
  <c r="AC80" i="61"/>
  <c r="N43" i="61"/>
  <c r="I43" i="61"/>
  <c r="H76" i="61"/>
  <c r="X76" i="61"/>
  <c r="AC78" i="61"/>
  <c r="AN77" i="61"/>
  <c r="Y75" i="62"/>
  <c r="Y82" i="62" s="1"/>
  <c r="AL75" i="62"/>
  <c r="AL82" i="62" s="1"/>
  <c r="Q75" i="62"/>
  <c r="Q82" i="62" s="1"/>
  <c r="AG22" i="62"/>
  <c r="AG75" i="62" s="1"/>
  <c r="AG82" i="62" s="1"/>
  <c r="X22" i="62"/>
  <c r="X75" i="62" s="1"/>
  <c r="X82" i="62" s="1"/>
  <c r="AR22" i="62"/>
  <c r="AI79" i="62"/>
  <c r="AQ36" i="62"/>
  <c r="I36" i="62"/>
  <c r="AJ77" i="62"/>
  <c r="AE36" i="62"/>
  <c r="O79" i="62"/>
  <c r="AC80" i="62"/>
  <c r="AI43" i="62"/>
  <c r="AC43" i="62"/>
  <c r="P79" i="62"/>
  <c r="W79" i="62"/>
  <c r="I57" i="62"/>
  <c r="I77" i="62"/>
  <c r="AF78" i="62"/>
  <c r="I79" i="62"/>
  <c r="L79" i="62"/>
  <c r="T79" i="62"/>
  <c r="X79" i="62"/>
  <c r="I80" i="62"/>
  <c r="AE36" i="65"/>
  <c r="AE75" i="65" s="1"/>
  <c r="AE82" i="65" s="1"/>
  <c r="AQ8" i="66"/>
  <c r="AQ8" i="67"/>
  <c r="AQ8" i="68"/>
  <c r="AE95" i="68"/>
  <c r="AE54" i="70"/>
  <c r="AN93" i="67"/>
  <c r="AN100" i="67" s="1"/>
  <c r="I57" i="61"/>
  <c r="AI22" i="61"/>
  <c r="AQ64" i="61"/>
  <c r="AN76" i="61"/>
  <c r="AQ43" i="61"/>
  <c r="E75" i="62"/>
  <c r="E82" i="62" s="1"/>
  <c r="O75" i="62"/>
  <c r="O82" i="62" s="1"/>
  <c r="Z75" i="62"/>
  <c r="Z82" i="62" s="1"/>
  <c r="AH75" i="62"/>
  <c r="AH82" i="62" s="1"/>
  <c r="AQ22" i="62"/>
  <c r="M75" i="62"/>
  <c r="M82" i="62" s="1"/>
  <c r="U22" i="62"/>
  <c r="U75" i="62" s="1"/>
  <c r="U82" i="62" s="1"/>
  <c r="AI77" i="62"/>
  <c r="AA78" i="62"/>
  <c r="AA43" i="62"/>
  <c r="AA75" i="62" s="1"/>
  <c r="AA82" i="62" s="1"/>
  <c r="AR50" i="62"/>
  <c r="H76" i="62"/>
  <c r="X76" i="62"/>
  <c r="AQ64" i="62"/>
  <c r="I76" i="62"/>
  <c r="Q76" i="62"/>
  <c r="H79" i="62"/>
  <c r="M79" i="62"/>
  <c r="U79" i="62"/>
  <c r="AQ8" i="63"/>
  <c r="AQ8" i="64"/>
  <c r="AM93" i="67"/>
  <c r="AF75" i="64"/>
  <c r="AF82" i="64" s="1"/>
  <c r="AR22" i="64"/>
  <c r="AQ93" i="72"/>
  <c r="AM100" i="71"/>
  <c r="AQ100" i="71" s="1"/>
  <c r="AO93" i="70"/>
  <c r="AR93" i="70" s="1"/>
  <c r="AM93" i="70"/>
  <c r="AQ33" i="70"/>
  <c r="AQ8" i="70"/>
  <c r="AE93" i="70"/>
  <c r="AE100" i="70" s="1"/>
  <c r="AN93" i="69"/>
  <c r="AN100" i="69" s="1"/>
  <c r="AM93" i="69"/>
  <c r="AQ40" i="69"/>
  <c r="AR93" i="68"/>
  <c r="G93" i="68"/>
  <c r="G100" i="68" s="1"/>
  <c r="AM93" i="68"/>
  <c r="AE93" i="68"/>
  <c r="AE100" i="68" s="1"/>
  <c r="AQ93" i="67"/>
  <c r="AO100" i="67"/>
  <c r="AR100" i="67" s="1"/>
  <c r="AE93" i="67"/>
  <c r="AE100" i="67" s="1"/>
  <c r="AE96" i="67"/>
  <c r="AR75" i="66"/>
  <c r="AM75" i="66"/>
  <c r="AM82" i="66" s="1"/>
  <c r="AQ82" i="66" s="1"/>
  <c r="AE76" i="66"/>
  <c r="AE8" i="66"/>
  <c r="AE75" i="66" s="1"/>
  <c r="AE82" i="66" s="1"/>
  <c r="AN75" i="65"/>
  <c r="AN82" i="65" s="1"/>
  <c r="AQ8" i="65"/>
  <c r="AM75" i="65"/>
  <c r="AR75" i="65"/>
  <c r="AO82" i="65"/>
  <c r="AR82" i="65" s="1"/>
  <c r="AM75" i="64"/>
  <c r="AQ75" i="64" s="1"/>
  <c r="AO82" i="64"/>
  <c r="AR82" i="64" s="1"/>
  <c r="AR75" i="64"/>
  <c r="AE76" i="64"/>
  <c r="AE8" i="64"/>
  <c r="AE36" i="64"/>
  <c r="AM75" i="63"/>
  <c r="AM82" i="63" s="1"/>
  <c r="AQ82" i="63" s="1"/>
  <c r="AR75" i="63"/>
  <c r="AO82" i="63"/>
  <c r="AR82" i="63" s="1"/>
  <c r="AE36" i="63"/>
  <c r="AE75" i="63" s="1"/>
  <c r="AE82" i="63" s="1"/>
  <c r="AN75" i="62"/>
  <c r="AN82" i="62" s="1"/>
  <c r="G75" i="62"/>
  <c r="G82" i="62" s="1"/>
  <c r="W75" i="62"/>
  <c r="W82" i="62" s="1"/>
  <c r="F75" i="62"/>
  <c r="F82" i="62" s="1"/>
  <c r="D75" i="62"/>
  <c r="D82" i="62" s="1"/>
  <c r="D85" i="62" s="1"/>
  <c r="AQ50" i="62"/>
  <c r="I75" i="62"/>
  <c r="I82" i="62" s="1"/>
  <c r="AQ43" i="62"/>
  <c r="AC75" i="62"/>
  <c r="AC82" i="62" s="1"/>
  <c r="H75" i="62"/>
  <c r="H82" i="62" s="1"/>
  <c r="AM75" i="62"/>
  <c r="AE78" i="62"/>
  <c r="AC78" i="62"/>
  <c r="AG78" i="62"/>
  <c r="AO79" i="62"/>
  <c r="K8" i="62"/>
  <c r="K75" i="62" s="1"/>
  <c r="K82" i="62" s="1"/>
  <c r="AI8" i="62"/>
  <c r="AQ8" i="62" s="1"/>
  <c r="AE10" i="62"/>
  <c r="S15" i="62"/>
  <c r="S75" i="62" s="1"/>
  <c r="S82" i="62" s="1"/>
  <c r="J22" i="62"/>
  <c r="J75" i="62" s="1"/>
  <c r="J82" i="62" s="1"/>
  <c r="N22" i="62"/>
  <c r="N75" i="62" s="1"/>
  <c r="N82" i="62" s="1"/>
  <c r="R22" i="62"/>
  <c r="R75" i="62" s="1"/>
  <c r="R82" i="62" s="1"/>
  <c r="V22" i="62"/>
  <c r="V75" i="62" s="1"/>
  <c r="V82" i="62" s="1"/>
  <c r="AD36" i="62"/>
  <c r="P76" i="62"/>
  <c r="AJ76" i="62"/>
  <c r="AN77" i="62"/>
  <c r="AD57" i="62"/>
  <c r="AO75" i="62"/>
  <c r="AF36" i="62"/>
  <c r="AF75" i="62" s="1"/>
  <c r="AF82" i="62" s="1"/>
  <c r="AM77" i="61"/>
  <c r="AN78" i="61"/>
  <c r="AN36" i="61"/>
  <c r="AM36" i="61"/>
  <c r="AM76" i="61"/>
  <c r="AR22" i="61"/>
  <c r="AO75" i="61"/>
  <c r="AO79" i="61"/>
  <c r="AN22" i="61"/>
  <c r="AM22" i="61"/>
  <c r="AQ22" i="61" s="1"/>
  <c r="AQ15" i="61"/>
  <c r="AJ22" i="61"/>
  <c r="AJ78" i="61"/>
  <c r="AI8" i="61"/>
  <c r="AQ8" i="61" s="1"/>
  <c r="AI29" i="61"/>
  <c r="AQ29" i="61" s="1"/>
  <c r="AI79" i="61"/>
  <c r="AI77" i="61"/>
  <c r="AJ36" i="61"/>
  <c r="AI80" i="61"/>
  <c r="AI36" i="61"/>
  <c r="D75" i="61"/>
  <c r="D82" i="61" s="1"/>
  <c r="D85" i="61" s="1"/>
  <c r="P75" i="61"/>
  <c r="P82" i="61" s="1"/>
  <c r="T75" i="61"/>
  <c r="T82" i="61" s="1"/>
  <c r="X75" i="61"/>
  <c r="X82" i="61" s="1"/>
  <c r="AQ50" i="61"/>
  <c r="E75" i="61"/>
  <c r="E82" i="61" s="1"/>
  <c r="F75" i="61"/>
  <c r="F82" i="61" s="1"/>
  <c r="J75" i="61"/>
  <c r="J82" i="61" s="1"/>
  <c r="N75" i="61"/>
  <c r="N82" i="61" s="1"/>
  <c r="R75" i="61"/>
  <c r="R82" i="61" s="1"/>
  <c r="V75" i="61"/>
  <c r="V82" i="61" s="1"/>
  <c r="Z75" i="61"/>
  <c r="Z82" i="61" s="1"/>
  <c r="AE76" i="61"/>
  <c r="AE8" i="61"/>
  <c r="AK75" i="61"/>
  <c r="I75" i="61"/>
  <c r="I82" i="61" s="1"/>
  <c r="H75" i="61"/>
  <c r="H82" i="61" s="1"/>
  <c r="L75" i="61"/>
  <c r="L82" i="61" s="1"/>
  <c r="Q75" i="61"/>
  <c r="Q82" i="61" s="1"/>
  <c r="I76" i="61"/>
  <c r="Q76" i="61"/>
  <c r="AC77" i="61"/>
  <c r="AC79" i="61"/>
  <c r="AK79" i="61"/>
  <c r="AC22" i="61"/>
  <c r="AC75" i="61" s="1"/>
  <c r="AC82" i="61" s="1"/>
  <c r="O36" i="61"/>
  <c r="S36" i="61"/>
  <c r="P76" i="61"/>
  <c r="AF76" i="61"/>
  <c r="H79" i="61"/>
  <c r="P79" i="61"/>
  <c r="T79" i="61"/>
  <c r="X79" i="61"/>
  <c r="M8" i="61"/>
  <c r="M75" i="61" s="1"/>
  <c r="M82" i="61" s="1"/>
  <c r="AG8" i="61"/>
  <c r="AG75" i="61" s="1"/>
  <c r="AG82" i="61" s="1"/>
  <c r="G22" i="61"/>
  <c r="K22" i="61"/>
  <c r="K75" i="61" s="1"/>
  <c r="K82" i="61" s="1"/>
  <c r="O22" i="61"/>
  <c r="O75" i="61" s="1"/>
  <c r="O82" i="61" s="1"/>
  <c r="S22" i="61"/>
  <c r="W22" i="61"/>
  <c r="W75" i="61" s="1"/>
  <c r="W82" i="61" s="1"/>
  <c r="AA22" i="61"/>
  <c r="AA75" i="61" s="1"/>
  <c r="AA82" i="61" s="1"/>
  <c r="AD76" i="61"/>
  <c r="AD78" i="61"/>
  <c r="F80" i="61"/>
  <c r="AJ76" i="61"/>
  <c r="L79" i="61"/>
  <c r="G75" i="61" l="1"/>
  <c r="G82" i="61" s="1"/>
  <c r="S75" i="61"/>
  <c r="S82" i="61" s="1"/>
  <c r="AI75" i="62"/>
  <c r="AI82" i="62" s="1"/>
  <c r="AE75" i="64"/>
  <c r="AE82" i="64" s="1"/>
  <c r="AQ36" i="61"/>
  <c r="AD75" i="62"/>
  <c r="AD82" i="62" s="1"/>
  <c r="AE36" i="61"/>
  <c r="AE75" i="61" s="1"/>
  <c r="AE82" i="61" s="1"/>
  <c r="AO100" i="70"/>
  <c r="AR100" i="70" s="1"/>
  <c r="AM100" i="70"/>
  <c r="AQ100" i="70" s="1"/>
  <c r="AQ93" i="70"/>
  <c r="AM100" i="69"/>
  <c r="AQ100" i="69" s="1"/>
  <c r="AQ93" i="69"/>
  <c r="AM100" i="68"/>
  <c r="AQ100" i="68" s="1"/>
  <c r="AQ93" i="68"/>
  <c r="AM100" i="67"/>
  <c r="AQ100" i="67" s="1"/>
  <c r="AQ75" i="66"/>
  <c r="AM82" i="65"/>
  <c r="AQ82" i="65" s="1"/>
  <c r="AQ75" i="65"/>
  <c r="AM82" i="64"/>
  <c r="AQ82" i="64" s="1"/>
  <c r="AQ75" i="63"/>
  <c r="AR75" i="62"/>
  <c r="AO82" i="62"/>
  <c r="AR82" i="62" s="1"/>
  <c r="AM82" i="62"/>
  <c r="AQ82" i="62" s="1"/>
  <c r="AQ75" i="62"/>
  <c r="AE76" i="62"/>
  <c r="AE8" i="62"/>
  <c r="AE75" i="62" s="1"/>
  <c r="AE82" i="62" s="1"/>
  <c r="AN75" i="61"/>
  <c r="AN82" i="61" s="1"/>
  <c r="AR75" i="61"/>
  <c r="AO82" i="61"/>
  <c r="AM75" i="61"/>
  <c r="AM82" i="61" s="1"/>
  <c r="AJ75" i="61"/>
  <c r="AJ82" i="61" s="1"/>
  <c r="AI75" i="61"/>
  <c r="AK82" i="61"/>
  <c r="AR82" i="61" l="1"/>
  <c r="AQ75" i="61"/>
  <c r="AI82" i="61"/>
  <c r="AQ82" i="6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Васина</author>
  </authors>
  <commentList>
    <comment ref="A5" authorId="0" shapeId="0" xr:uid="{00000000-0006-0000-0E00-000001000000}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<sst xmlns="http://schemas.openxmlformats.org/spreadsheetml/2006/main" count="1644" uniqueCount="52">
  <si>
    <t>Учреждения</t>
  </si>
  <si>
    <t>Департамент имущества</t>
  </si>
  <si>
    <t>Департамент образования</t>
  </si>
  <si>
    <t>Департамент финансов</t>
  </si>
  <si>
    <t>Департамент АПК</t>
  </si>
  <si>
    <t>текущая</t>
  </si>
  <si>
    <t xml:space="preserve">текущая </t>
  </si>
  <si>
    <t>% роста к предыдущ. мес.</t>
  </si>
  <si>
    <t>по оплате труда</t>
  </si>
  <si>
    <t>по государственным внебюджетным фондам</t>
  </si>
  <si>
    <t>по налогам и сборам</t>
  </si>
  <si>
    <t>в том числе по поставщикам и подрядчикам</t>
  </si>
  <si>
    <t>ИТОГО</t>
  </si>
  <si>
    <t>просро-  ченная</t>
  </si>
  <si>
    <t>просро- ченная</t>
  </si>
  <si>
    <t>МУ"Контрольно-счетная палата"</t>
  </si>
  <si>
    <t xml:space="preserve">по прочим кредитор. </t>
  </si>
  <si>
    <t>Департамент культуры      (в т.ч. Галактика , Берега)</t>
  </si>
  <si>
    <t xml:space="preserve">Департамент ЖКХ             (в т.ч. ОСКР)     </t>
  </si>
  <si>
    <t>Департамент труда           (в т.ч. Милосердие)</t>
  </si>
  <si>
    <t>Муниципальный долг</t>
  </si>
  <si>
    <t>ВСЕГО</t>
  </si>
  <si>
    <t>Справочно:</t>
  </si>
  <si>
    <t xml:space="preserve">Свод по кредиторской задолженности </t>
  </si>
  <si>
    <t>ЦРБ, КРБ</t>
  </si>
  <si>
    <t>Сельские территории</t>
  </si>
  <si>
    <t>Задолженность по предпринимательской деятельности на 01.01.2012</t>
  </si>
  <si>
    <t>Задолженность по бюджету на 01.01.2012</t>
  </si>
  <si>
    <t>01.01.2012</t>
  </si>
  <si>
    <t>01.01.2013</t>
  </si>
  <si>
    <t>01.02.2013</t>
  </si>
  <si>
    <t>01.03.2013</t>
  </si>
  <si>
    <t>01.04.2013</t>
  </si>
  <si>
    <t>01.05.2013</t>
  </si>
  <si>
    <t>01.06.2013</t>
  </si>
  <si>
    <t>01.07.2013</t>
  </si>
  <si>
    <t>01.08.2013</t>
  </si>
  <si>
    <t>01.09.2013</t>
  </si>
  <si>
    <t>01.10.2013</t>
  </si>
  <si>
    <t>01.01.2014</t>
  </si>
  <si>
    <t xml:space="preserve">В том числе по муниципальному заданию </t>
  </si>
  <si>
    <t>01.01.2016</t>
  </si>
  <si>
    <t xml:space="preserve"> </t>
  </si>
  <si>
    <t>просро-ченная</t>
  </si>
  <si>
    <t xml:space="preserve">в том числе за счет средств обл.бюджета </t>
  </si>
  <si>
    <t>текущая всего</t>
  </si>
  <si>
    <t>просро-ченная всего</t>
  </si>
  <si>
    <t>Администрация         (в т.ч Агенство)</t>
  </si>
  <si>
    <t>Агентство</t>
  </si>
  <si>
    <t>ЖКК</t>
  </si>
  <si>
    <t>ЦКО</t>
  </si>
  <si>
    <t xml:space="preserve">Администрация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</si>
</sst>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4" fontId="1" fillId="0" borderId="9" xfId="0" applyNumberFormat="1" applyFont="1" applyBorder="1"/>
    <xf numFmtId="4" fontId="0" fillId="0" borderId="9" xfId="0" applyNumberFormat="1" applyBorder="1"/>
    <xf numFmtId="4" fontId="1" fillId="0" borderId="9" xfId="0" applyNumberFormat="1" applyFont="1" applyBorder="1" applyAlignment="1">
      <alignment horizontal="left" wrapText="1"/>
    </xf>
    <xf numFmtId="4" fontId="0" fillId="0" borderId="10" xfId="0" applyNumberForma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center" wrapText="1"/>
    </xf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left" wrapText="1"/>
    </xf>
    <xf numFmtId="4" fontId="5" fillId="0" borderId="9" xfId="0" applyNumberFormat="1" applyFont="1" applyBorder="1"/>
    <xf numFmtId="4" fontId="8" fillId="0" borderId="9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center" wrapText="1"/>
    </xf>
    <xf numFmtId="4" fontId="6" fillId="0" borderId="9" xfId="0" applyNumberFormat="1" applyFont="1" applyBorder="1"/>
    <xf numFmtId="4" fontId="8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8" fillId="0" borderId="9" xfId="0" applyNumberFormat="1" applyFont="1" applyBorder="1"/>
    <xf numFmtId="4" fontId="7" fillId="0" borderId="9" xfId="0" applyNumberFormat="1" applyFont="1" applyBorder="1"/>
    <xf numFmtId="4" fontId="0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 wrapText="1"/>
    </xf>
    <xf numFmtId="0" fontId="5" fillId="0" borderId="10" xfId="0" applyFont="1" applyBorder="1"/>
    <xf numFmtId="4" fontId="5" fillId="0" borderId="10" xfId="0" applyNumberFormat="1" applyFont="1" applyBorder="1" applyAlignment="1">
      <alignment horizontal="right" wrapText="1"/>
    </xf>
    <xf numFmtId="4" fontId="0" fillId="0" borderId="9" xfId="0" applyNumberFormat="1" applyFont="1" applyBorder="1" applyAlignment="1">
      <alignment horizontal="right"/>
    </xf>
    <xf numFmtId="4" fontId="8" fillId="0" borderId="9" xfId="0" quotePrefix="1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4" fontId="8" fillId="0" borderId="9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4" fontId="7" fillId="0" borderId="11" xfId="0" applyNumberFormat="1" applyFont="1" applyBorder="1" applyAlignment="1"/>
    <xf numFmtId="164" fontId="7" fillId="0" borderId="9" xfId="0" applyNumberFormat="1" applyFont="1" applyBorder="1" applyAlignment="1"/>
    <xf numFmtId="10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8" fillId="0" borderId="10" xfId="0" applyFont="1" applyBorder="1"/>
    <xf numFmtId="4" fontId="7" fillId="0" borderId="11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0" fontId="5" fillId="0" borderId="0" xfId="0" applyFont="1"/>
    <xf numFmtId="4" fontId="0" fillId="0" borderId="11" xfId="0" applyNumberForma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3" xfId="0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/>
    <xf numFmtId="164" fontId="6" fillId="0" borderId="9" xfId="0" applyNumberFormat="1" applyFont="1" applyBorder="1" applyAlignment="1"/>
    <xf numFmtId="10" fontId="6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4" fontId="1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/>
    <xf numFmtId="164" fontId="1" fillId="0" borderId="9" xfId="0" applyNumberFormat="1" applyFont="1" applyBorder="1" applyAlignment="1"/>
    <xf numFmtId="10" fontId="1" fillId="0" borderId="9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4" fontId="0" fillId="0" borderId="7" xfId="0" applyNumberFormat="1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14" fontId="0" fillId="0" borderId="8" xfId="0" applyNumberFormat="1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0" fontId="0" fillId="0" borderId="10" xfId="0" applyBorder="1"/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right"/>
    </xf>
    <xf numFmtId="0" fontId="8" fillId="0" borderId="10" xfId="0" applyFont="1" applyBorder="1"/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/>
    <xf numFmtId="0" fontId="0" fillId="0" borderId="3" xfId="0" applyBorder="1"/>
    <xf numFmtId="0" fontId="1" fillId="0" borderId="6" xfId="0" applyFont="1" applyBorder="1" applyAlignment="1">
      <alignment wrapText="1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86"/>
  <sheetViews>
    <sheetView workbookViewId="0">
      <selection sqref="A1:XFD1048576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42" width="14" customWidth="1"/>
    <col min="44" max="44" width="11.5703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43586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40414515.799999997</v>
      </c>
      <c r="AN8" s="120">
        <f>AN10+AN11+AN12+AN13+AN14</f>
        <v>293145.78999999998</v>
      </c>
      <c r="AO8" s="120">
        <f>AO10+AO11+AO12+AO13+AO14</f>
        <v>0</v>
      </c>
      <c r="AP8" s="120">
        <f>AP10+AP11+AP12+AP13+AP14</f>
        <v>0</v>
      </c>
      <c r="AQ8" s="116">
        <f>AM8/AI8-1</f>
        <v>-4.5335794275412011E-2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f>1527379.91+33785316.1+180377.28+196381.44+37049.71</f>
        <v>35726504.439999998</v>
      </c>
      <c r="AN10" s="19">
        <v>17381.18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f>1659984.66+1265616.67+267188.43</f>
        <v>3192789.7600000002</v>
      </c>
      <c r="AN11" s="19">
        <v>184917.86</v>
      </c>
      <c r="AO11" s="19"/>
      <c r="AP11" s="19"/>
      <c r="AQ11" s="34"/>
      <c r="AR11" s="34"/>
    </row>
    <row r="12" spans="1:44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f>847270.05+532377.24+115574.31</f>
        <v>1495221.6</v>
      </c>
      <c r="AN13" s="19">
        <v>90846.75</v>
      </c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11" t="s">
        <v>1</v>
      </c>
      <c r="B15" s="112"/>
      <c r="C15" s="115">
        <f>SUM(C17:C21)</f>
        <v>0</v>
      </c>
      <c r="D15" s="115">
        <f>SUM(D17:D21)</f>
        <v>0</v>
      </c>
      <c r="E15" s="115">
        <f t="shared" ref="E15:AD15" si="1">SUM(E17:E21)</f>
        <v>35747.5</v>
      </c>
      <c r="F15" s="115">
        <f t="shared" si="1"/>
        <v>0</v>
      </c>
      <c r="G15" s="115">
        <f t="shared" si="1"/>
        <v>0</v>
      </c>
      <c r="H15" s="115">
        <f t="shared" si="1"/>
        <v>0</v>
      </c>
      <c r="I15" s="115">
        <f t="shared" si="1"/>
        <v>0</v>
      </c>
      <c r="J15" s="115">
        <f t="shared" si="1"/>
        <v>0</v>
      </c>
      <c r="K15" s="115">
        <f t="shared" si="1"/>
        <v>120756.41</v>
      </c>
      <c r="L15" s="115">
        <f t="shared" si="1"/>
        <v>0</v>
      </c>
      <c r="M15" s="115">
        <f t="shared" si="1"/>
        <v>144077.24</v>
      </c>
      <c r="N15" s="115">
        <f t="shared" si="1"/>
        <v>0</v>
      </c>
      <c r="O15" s="115">
        <f t="shared" si="1"/>
        <v>122267.09</v>
      </c>
      <c r="P15" s="115">
        <f t="shared" si="1"/>
        <v>0</v>
      </c>
      <c r="Q15" s="115">
        <f t="shared" si="1"/>
        <v>81760.240000000005</v>
      </c>
      <c r="R15" s="115">
        <f t="shared" si="1"/>
        <v>0</v>
      </c>
      <c r="S15" s="115">
        <f t="shared" si="1"/>
        <v>68067.33</v>
      </c>
      <c r="T15" s="115">
        <f t="shared" si="1"/>
        <v>0</v>
      </c>
      <c r="U15" s="115">
        <f t="shared" si="1"/>
        <v>61711.68</v>
      </c>
      <c r="V15" s="115">
        <f t="shared" si="1"/>
        <v>0</v>
      </c>
      <c r="W15" s="115">
        <f t="shared" si="1"/>
        <v>0</v>
      </c>
      <c r="X15" s="115">
        <f t="shared" si="1"/>
        <v>0</v>
      </c>
      <c r="Y15" s="115">
        <f t="shared" si="1"/>
        <v>217.78</v>
      </c>
      <c r="Z15" s="115">
        <f t="shared" si="1"/>
        <v>0</v>
      </c>
      <c r="AA15" s="128">
        <f t="shared" si="1"/>
        <v>187710.37</v>
      </c>
      <c r="AB15" s="128">
        <f t="shared" si="1"/>
        <v>0</v>
      </c>
      <c r="AC15" s="128">
        <f t="shared" si="1"/>
        <v>333233.98</v>
      </c>
      <c r="AD15" s="128">
        <f t="shared" si="1"/>
        <v>0</v>
      </c>
      <c r="AE15" s="126">
        <f t="shared" ref="AE15:AL15" si="2">AE17+AE18+AE19+AE20+AE21</f>
        <v>667959.52</v>
      </c>
      <c r="AF15" s="126">
        <f t="shared" si="2"/>
        <v>0</v>
      </c>
      <c r="AG15" s="126">
        <f t="shared" si="2"/>
        <v>94034.71</v>
      </c>
      <c r="AH15" s="126">
        <f t="shared" si="2"/>
        <v>0</v>
      </c>
      <c r="AI15" s="122">
        <f t="shared" si="2"/>
        <v>797761.55</v>
      </c>
      <c r="AJ15" s="122">
        <f t="shared" si="2"/>
        <v>0</v>
      </c>
      <c r="AK15" s="122">
        <v>0</v>
      </c>
      <c r="AL15" s="122">
        <f t="shared" si="2"/>
        <v>0</v>
      </c>
      <c r="AM15" s="122">
        <f>AM17+AM18+AM19+AM20+AM21</f>
        <v>941118.47</v>
      </c>
      <c r="AN15" s="122">
        <f>AN17+AN18+AN19+AN20+AN21</f>
        <v>0</v>
      </c>
      <c r="AO15" s="122">
        <f>AO17+AO18+AO19+AO20+AO21</f>
        <v>0</v>
      </c>
      <c r="AP15" s="122">
        <f>AP17+AP18+AP19+AP20+AP21</f>
        <v>0</v>
      </c>
      <c r="AQ15" s="116">
        <f>AM15/AI15-1</f>
        <v>0.17969895891823806</v>
      </c>
      <c r="AR15" s="116" t="e">
        <f>AO15/AK15-1</f>
        <v>#DIV/0!</v>
      </c>
    </row>
    <row r="16" spans="1:44" x14ac:dyDescent="0.25">
      <c r="A16" s="113"/>
      <c r="B16" s="114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25"/>
      <c r="AB16" s="125"/>
      <c r="AC16" s="125"/>
      <c r="AD16" s="125"/>
      <c r="AE16" s="127"/>
      <c r="AF16" s="127"/>
      <c r="AG16" s="127"/>
      <c r="AH16" s="127"/>
      <c r="AI16" s="123"/>
      <c r="AJ16" s="123"/>
      <c r="AK16" s="123"/>
      <c r="AL16" s="123"/>
      <c r="AM16" s="123"/>
      <c r="AN16" s="123"/>
      <c r="AO16" s="123"/>
      <c r="AP16" s="123"/>
      <c r="AQ16" s="117"/>
      <c r="AR16" s="117"/>
    </row>
    <row r="17" spans="1:47" ht="30" customHeight="1" x14ac:dyDescent="0.25">
      <c r="A17" s="109" t="s">
        <v>11</v>
      </c>
      <c r="B17" s="110"/>
      <c r="C17" s="2"/>
      <c r="D17" s="2"/>
      <c r="E17" s="2">
        <v>35747.5</v>
      </c>
      <c r="F17" s="2"/>
      <c r="G17" s="2"/>
      <c r="H17" s="2"/>
      <c r="I17" s="2"/>
      <c r="J17" s="2"/>
      <c r="K17" s="2">
        <v>120756.41</v>
      </c>
      <c r="L17" s="2"/>
      <c r="M17" s="2">
        <v>144077.24</v>
      </c>
      <c r="N17" s="2"/>
      <c r="O17" s="2">
        <v>122267.09</v>
      </c>
      <c r="P17" s="2"/>
      <c r="Q17" s="2">
        <v>67770.240000000005</v>
      </c>
      <c r="R17" s="2"/>
      <c r="S17" s="2">
        <f>65281.19+2786.14</f>
        <v>68067.33</v>
      </c>
      <c r="T17" s="2"/>
      <c r="U17" s="2">
        <v>61711.68</v>
      </c>
      <c r="V17" s="2"/>
      <c r="W17" s="2"/>
      <c r="X17" s="2"/>
      <c r="Y17" s="2">
        <v>217.78</v>
      </c>
      <c r="Z17" s="2"/>
      <c r="AA17" s="16">
        <v>35</v>
      </c>
      <c r="AB17" s="16"/>
      <c r="AC17" s="16">
        <f>27611.35+117602.07</f>
        <v>145213.42000000001</v>
      </c>
      <c r="AD17" s="13"/>
      <c r="AE17" s="23">
        <f>56332.86+251324.18</f>
        <v>307657.03999999998</v>
      </c>
      <c r="AF17" s="13"/>
      <c r="AG17" s="23">
        <f>3600+90434.71</f>
        <v>94034.71</v>
      </c>
      <c r="AH17" s="23"/>
      <c r="AI17" s="16">
        <f>30567.15+190377.23</f>
        <v>220944.38</v>
      </c>
      <c r="AJ17" s="16"/>
      <c r="AK17" s="16"/>
      <c r="AL17" s="16"/>
      <c r="AM17" s="16">
        <f>122443.66+443743.16</f>
        <v>566186.81999999995</v>
      </c>
      <c r="AN17" s="16"/>
      <c r="AO17" s="16"/>
      <c r="AP17" s="16"/>
      <c r="AQ17" s="24"/>
      <c r="AR17" s="24"/>
    </row>
    <row r="18" spans="1:47" ht="15.75" customHeight="1" x14ac:dyDescent="0.25">
      <c r="A18" s="109" t="s">
        <v>8</v>
      </c>
      <c r="B18" s="1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6">
        <v>172262.37</v>
      </c>
      <c r="AB18" s="16"/>
      <c r="AC18" s="16">
        <v>188020.56</v>
      </c>
      <c r="AD18" s="13"/>
      <c r="AE18" s="23">
        <v>225161</v>
      </c>
      <c r="AF18" s="13"/>
      <c r="AG18" s="13"/>
      <c r="AH18" s="13"/>
      <c r="AI18" s="16">
        <v>372715</v>
      </c>
      <c r="AJ18" s="16"/>
      <c r="AK18" s="16"/>
      <c r="AL18" s="16"/>
      <c r="AM18" s="16">
        <f>238017</f>
        <v>238017</v>
      </c>
      <c r="AN18" s="16"/>
      <c r="AO18" s="16"/>
      <c r="AP18" s="16"/>
      <c r="AQ18" s="24"/>
      <c r="AR18" s="24"/>
    </row>
    <row r="19" spans="1:47" ht="21.75" customHeight="1" x14ac:dyDescent="0.25">
      <c r="A19" s="109" t="s">
        <v>9</v>
      </c>
      <c r="B19" s="1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6"/>
      <c r="AB19" s="16"/>
      <c r="AC19" s="13"/>
      <c r="AD19" s="13"/>
      <c r="AE19" s="23"/>
      <c r="AF19" s="13"/>
      <c r="AG19" s="13"/>
      <c r="AH19" s="13"/>
      <c r="AI19" s="16"/>
      <c r="AJ19" s="16"/>
      <c r="AK19" s="16"/>
      <c r="AL19" s="16"/>
      <c r="AM19" s="16"/>
      <c r="AN19" s="16"/>
      <c r="AO19" s="16"/>
      <c r="AP19" s="16"/>
      <c r="AQ19" s="24"/>
      <c r="AR19" s="24"/>
    </row>
    <row r="20" spans="1:47" ht="18" customHeight="1" x14ac:dyDescent="0.25">
      <c r="A20" s="109" t="s">
        <v>10</v>
      </c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13990</v>
      </c>
      <c r="R20" s="2"/>
      <c r="S20" s="2"/>
      <c r="T20" s="2"/>
      <c r="U20" s="2"/>
      <c r="V20" s="2"/>
      <c r="W20" s="2"/>
      <c r="X20" s="2"/>
      <c r="Y20" s="2"/>
      <c r="Z20" s="2"/>
      <c r="AA20" s="16">
        <v>15413</v>
      </c>
      <c r="AB20" s="16"/>
      <c r="AC20" s="13"/>
      <c r="AD20" s="13"/>
      <c r="AE20" s="23">
        <v>135141.48000000001</v>
      </c>
      <c r="AF20" s="13"/>
      <c r="AG20" s="13"/>
      <c r="AH20" s="13"/>
      <c r="AI20" s="16">
        <v>204102.17</v>
      </c>
      <c r="AJ20" s="16"/>
      <c r="AK20" s="16"/>
      <c r="AL20" s="16"/>
      <c r="AM20" s="16">
        <v>136914.65</v>
      </c>
      <c r="AN20" s="16"/>
      <c r="AO20" s="16"/>
      <c r="AP20" s="16"/>
      <c r="AQ20" s="24"/>
      <c r="AR20" s="24"/>
    </row>
    <row r="21" spans="1:47" ht="18.75" customHeight="1" x14ac:dyDescent="0.25">
      <c r="A21" s="109" t="s">
        <v>16</v>
      </c>
      <c r="B21" s="1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6"/>
      <c r="AB21" s="16"/>
      <c r="AC21" s="13"/>
      <c r="AD21" s="13"/>
      <c r="AE21" s="13"/>
      <c r="AF21" s="13"/>
      <c r="AG21" s="13"/>
      <c r="AH21" s="13"/>
      <c r="AI21" s="16"/>
      <c r="AJ21" s="16"/>
      <c r="AK21" s="16"/>
      <c r="AL21" s="16"/>
      <c r="AM21" s="13"/>
      <c r="AN21" s="13"/>
      <c r="AO21" s="13"/>
      <c r="AP21" s="13"/>
      <c r="AQ21" s="31"/>
      <c r="AR21" s="31"/>
    </row>
    <row r="22" spans="1:47" x14ac:dyDescent="0.25">
      <c r="A22" s="111" t="s">
        <v>2</v>
      </c>
      <c r="B22" s="112"/>
      <c r="C22" s="115">
        <v>54846675.530000001</v>
      </c>
      <c r="D22" s="115">
        <v>48940486.590000004</v>
      </c>
      <c r="E22" s="115">
        <f>SUM(E24:E28)</f>
        <v>64656891.350000001</v>
      </c>
      <c r="F22" s="115">
        <f>SUM(F24:F28)</f>
        <v>51440732.669999994</v>
      </c>
      <c r="G22" s="115">
        <f t="shared" ref="G22:AD22" si="3">SUM(G24:G28)</f>
        <v>69207433.140000001</v>
      </c>
      <c r="H22" s="115">
        <f t="shared" si="3"/>
        <v>50454846.649999999</v>
      </c>
      <c r="I22" s="115">
        <f t="shared" si="3"/>
        <v>70742852.230000004</v>
      </c>
      <c r="J22" s="115">
        <f t="shared" si="3"/>
        <v>55024116.890000001</v>
      </c>
      <c r="K22" s="115">
        <f t="shared" si="3"/>
        <v>70605066.099999994</v>
      </c>
      <c r="L22" s="115">
        <f t="shared" si="3"/>
        <v>57943952.730000004</v>
      </c>
      <c r="M22" s="115">
        <f t="shared" si="3"/>
        <v>73371785.549999997</v>
      </c>
      <c r="N22" s="115">
        <f t="shared" si="3"/>
        <v>57519633.82</v>
      </c>
      <c r="O22" s="115">
        <f t="shared" si="3"/>
        <v>69857012.25</v>
      </c>
      <c r="P22" s="115">
        <f t="shared" si="3"/>
        <v>65548817.789999999</v>
      </c>
      <c r="Q22" s="115">
        <f t="shared" si="3"/>
        <v>71509757.569999993</v>
      </c>
      <c r="R22" s="115">
        <f t="shared" si="3"/>
        <v>57862859.439999998</v>
      </c>
      <c r="S22" s="115">
        <f t="shared" si="3"/>
        <v>71486946.959999993</v>
      </c>
      <c r="T22" s="115">
        <f t="shared" si="3"/>
        <v>57789918.439999998</v>
      </c>
      <c r="U22" s="115">
        <f t="shared" si="3"/>
        <v>70592079.479999989</v>
      </c>
      <c r="V22" s="115">
        <f t="shared" si="3"/>
        <v>61579945.239999995</v>
      </c>
      <c r="W22" s="115">
        <f t="shared" si="3"/>
        <v>66866461.460000001</v>
      </c>
      <c r="X22" s="115">
        <f t="shared" si="3"/>
        <v>57735277.960000001</v>
      </c>
      <c r="Y22" s="115">
        <f t="shared" si="3"/>
        <v>103038065.23999999</v>
      </c>
      <c r="Z22" s="115">
        <f t="shared" si="3"/>
        <v>90836160.789999992</v>
      </c>
      <c r="AA22" s="128">
        <f t="shared" si="3"/>
        <v>56387437.119999997</v>
      </c>
      <c r="AB22" s="128">
        <f t="shared" si="3"/>
        <v>15533763.189999999</v>
      </c>
      <c r="AC22" s="128">
        <f t="shared" si="3"/>
        <v>119943838.53</v>
      </c>
      <c r="AD22" s="128">
        <f t="shared" si="3"/>
        <v>72448338.349999994</v>
      </c>
      <c r="AE22" s="126">
        <f t="shared" ref="AE22:AL22" si="4">AE24+AE25+AE26+AE27+AE28</f>
        <v>98597337.969999999</v>
      </c>
      <c r="AF22" s="126">
        <f t="shared" si="4"/>
        <v>28249113.57</v>
      </c>
      <c r="AG22" s="126">
        <f t="shared" si="4"/>
        <v>52538002.529999994</v>
      </c>
      <c r="AH22" s="126">
        <f t="shared" si="4"/>
        <v>0</v>
      </c>
      <c r="AI22" s="122">
        <f t="shared" si="4"/>
        <v>63217359.389999993</v>
      </c>
      <c r="AJ22" s="122">
        <f t="shared" si="4"/>
        <v>27862807.449999999</v>
      </c>
      <c r="AK22" s="122">
        <f t="shared" si="4"/>
        <v>9411597.2899999991</v>
      </c>
      <c r="AL22" s="122">
        <f t="shared" si="4"/>
        <v>0</v>
      </c>
      <c r="AM22" s="122">
        <f>AM24+AM25+AM26+AM27+AM28</f>
        <v>65453362.050000004</v>
      </c>
      <c r="AN22" s="122">
        <f>AN24+AN25+AN26+AN27+AN28</f>
        <v>26967233.449999999</v>
      </c>
      <c r="AO22" s="122">
        <f>AO24+AO25+AO26+AO27+AO28</f>
        <v>10062712.49</v>
      </c>
      <c r="AP22" s="122">
        <f>AP24+AP25+AP26+AP27+AP28</f>
        <v>0</v>
      </c>
      <c r="AQ22" s="116">
        <f>AM22/AI22-1</f>
        <v>3.5370073688236303E-2</v>
      </c>
      <c r="AR22" s="116">
        <f>AO22/AK22-1</f>
        <v>6.9182220609016465E-2</v>
      </c>
    </row>
    <row r="23" spans="1:47" ht="12" customHeight="1" x14ac:dyDescent="0.25">
      <c r="A23" s="113"/>
      <c r="B23" s="11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25"/>
      <c r="AB23" s="125"/>
      <c r="AC23" s="125"/>
      <c r="AD23" s="125"/>
      <c r="AE23" s="127"/>
      <c r="AF23" s="127"/>
      <c r="AG23" s="127"/>
      <c r="AH23" s="127"/>
      <c r="AI23" s="123"/>
      <c r="AJ23" s="123"/>
      <c r="AK23" s="123"/>
      <c r="AL23" s="123"/>
      <c r="AM23" s="123"/>
      <c r="AN23" s="123"/>
      <c r="AO23" s="123"/>
      <c r="AP23" s="123"/>
      <c r="AQ23" s="117"/>
      <c r="AR23" s="117"/>
    </row>
    <row r="24" spans="1:47" ht="43.5" customHeight="1" x14ac:dyDescent="0.25">
      <c r="A24" s="109" t="s">
        <v>11</v>
      </c>
      <c r="B24" s="110"/>
      <c r="C24" s="2"/>
      <c r="D24" s="2"/>
      <c r="E24" s="2">
        <v>10110055.9</v>
      </c>
      <c r="F24" s="2">
        <f>51442088.62-49312861.59</f>
        <v>2129227.0299999937</v>
      </c>
      <c r="G24" s="2">
        <v>10146692.35</v>
      </c>
      <c r="H24" s="2">
        <v>2129227.0299999998</v>
      </c>
      <c r="I24" s="2">
        <v>14616479.76</v>
      </c>
      <c r="J24" s="2">
        <v>2129227.0299999998</v>
      </c>
      <c r="K24" s="2">
        <v>7843217.96</v>
      </c>
      <c r="L24" s="2">
        <v>2129227.0299999998</v>
      </c>
      <c r="M24" s="2">
        <v>7533070</v>
      </c>
      <c r="N24" s="2">
        <v>2129227.0299999998</v>
      </c>
      <c r="O24" s="2">
        <v>6652443.1100000003</v>
      </c>
      <c r="P24" s="2">
        <v>2344248.65</v>
      </c>
      <c r="Q24" s="2">
        <f>8677372.77+42645.25</f>
        <v>8720018.0199999996</v>
      </c>
      <c r="R24" s="2">
        <f>2344248.65</f>
        <v>2344248.65</v>
      </c>
      <c r="S24" s="2">
        <f>69747.65+9218096.72</f>
        <v>9287844.370000001</v>
      </c>
      <c r="T24" s="2">
        <v>2271307.65</v>
      </c>
      <c r="U24" s="2">
        <f>94170.06+10964271.83</f>
        <v>11058441.890000001</v>
      </c>
      <c r="V24" s="2">
        <f>2046307.65</f>
        <v>2046307.65</v>
      </c>
      <c r="W24" s="2">
        <f>11194823.81+98358.34</f>
        <v>11293182.15</v>
      </c>
      <c r="X24" s="2">
        <f>2161998.65</f>
        <v>2161998.65</v>
      </c>
      <c r="Y24" s="2">
        <v>13594212.15</v>
      </c>
      <c r="Z24" s="2">
        <v>4751435.4800000004</v>
      </c>
      <c r="AA24" s="16">
        <f>77325.12+12375433.35</f>
        <v>12452758.469999999</v>
      </c>
      <c r="AB24" s="16">
        <v>1634678.03</v>
      </c>
      <c r="AC24" s="16">
        <f>263374.33+25371454.14</f>
        <v>25634828.469999999</v>
      </c>
      <c r="AD24" s="16">
        <v>7111498.0199999996</v>
      </c>
      <c r="AE24" s="23">
        <f>361338.29+22200823.79</f>
        <v>22562162.079999998</v>
      </c>
      <c r="AF24" s="23">
        <v>1203080.3799999999</v>
      </c>
      <c r="AG24" s="23">
        <f>223320.42+7979287.52</f>
        <v>8202607.9399999995</v>
      </c>
      <c r="AH24" s="13"/>
      <c r="AI24" s="16">
        <f>58898.5+5757823.28+84105.04+8232493.31</f>
        <v>14133320.129999999</v>
      </c>
      <c r="AJ24" s="16">
        <f>58898.5+84105.04</f>
        <v>143003.53999999998</v>
      </c>
      <c r="AK24" s="16">
        <v>1077110.1399999999</v>
      </c>
      <c r="AL24" s="16"/>
      <c r="AM24" s="16">
        <f>179994.99+6548255.58+171253.21+11582154.65</f>
        <v>18481658.43</v>
      </c>
      <c r="AN24" s="16">
        <f>179994.99+171253.21</f>
        <v>351248.19999999995</v>
      </c>
      <c r="AO24" s="16">
        <v>1018990.75</v>
      </c>
      <c r="AP24" s="16"/>
      <c r="AQ24" s="24"/>
      <c r="AR24" s="24"/>
      <c r="AU24" s="30"/>
    </row>
    <row r="25" spans="1:47" ht="18" customHeight="1" x14ac:dyDescent="0.25">
      <c r="A25" s="109" t="s">
        <v>8</v>
      </c>
      <c r="B25" s="1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>
        <f>774524.11+20097533.72</f>
        <v>20872057.829999998</v>
      </c>
      <c r="AB25" s="16"/>
      <c r="AC25" s="16">
        <f>815882.11+24539657.77</f>
        <v>25355539.879999999</v>
      </c>
      <c r="AD25" s="16"/>
      <c r="AE25" s="23">
        <f>826423.25+23317982.32</f>
        <v>24144405.57</v>
      </c>
      <c r="AF25" s="23">
        <v>16922780.550000001</v>
      </c>
      <c r="AG25" s="23"/>
      <c r="AH25" s="13"/>
      <c r="AI25" s="16">
        <f>6636427.13+2761581.99+10175763.76+5190667.21</f>
        <v>24764440.090000004</v>
      </c>
      <c r="AJ25" s="16">
        <f>6636427.13+10175763.76</f>
        <v>16812190.890000001</v>
      </c>
      <c r="AK25" s="16"/>
      <c r="AL25" s="16"/>
      <c r="AM25" s="16">
        <f>6824653.06+2782394.35+11008518.19+4370283.5</f>
        <v>24985849.100000001</v>
      </c>
      <c r="AN25" s="16">
        <f>6824653.06+11008518.19</f>
        <v>17833171.25</v>
      </c>
      <c r="AO25" s="16"/>
      <c r="AP25" s="16"/>
      <c r="AQ25" s="24"/>
      <c r="AR25" s="24"/>
    </row>
    <row r="26" spans="1:47" ht="44.25" customHeight="1" x14ac:dyDescent="0.25">
      <c r="A26" s="109" t="s">
        <v>9</v>
      </c>
      <c r="B26" s="110"/>
      <c r="C26" s="2"/>
      <c r="D26" s="2"/>
      <c r="E26" s="2">
        <v>4317281.3899999997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3356790.95</v>
      </c>
      <c r="Z26" s="2"/>
      <c r="AA26" s="16">
        <f>511757.59+6814505.62</f>
        <v>7326263.21</v>
      </c>
      <c r="AB26" s="16"/>
      <c r="AC26" s="16">
        <f>484038.54+11956133.92</f>
        <v>12440172.459999999</v>
      </c>
      <c r="AD26" s="16">
        <v>10626588</v>
      </c>
      <c r="AE26" s="23">
        <f>871920.5+16450579.56</f>
        <v>17322500.060000002</v>
      </c>
      <c r="AF26" s="23">
        <v>10123252.640000001</v>
      </c>
      <c r="AG26" s="23">
        <f>353493.68+11501508.54</f>
        <v>11855002.219999999</v>
      </c>
      <c r="AH26" s="13"/>
      <c r="AI26" s="16">
        <f>4846101.83+2549979.72+3834472.6+2522828.53</f>
        <v>13753382.68</v>
      </c>
      <c r="AJ26" s="16">
        <f>4846101.83+3834472.6</f>
        <v>8680574.4299999997</v>
      </c>
      <c r="AK26" s="16"/>
      <c r="AL26" s="16"/>
      <c r="AM26" s="16">
        <f>2253608.83+1076778.28+5644713.96+3082540.5</f>
        <v>12057641.57</v>
      </c>
      <c r="AN26" s="16">
        <f>2253608.83+5644713.96</f>
        <v>7898322.79</v>
      </c>
      <c r="AO26" s="16"/>
      <c r="AP26" s="16"/>
      <c r="AQ26" s="24"/>
      <c r="AR26" s="24"/>
    </row>
    <row r="27" spans="1:47" ht="16.899999999999999" customHeight="1" x14ac:dyDescent="0.25">
      <c r="A27" s="109" t="s">
        <v>10</v>
      </c>
      <c r="B27" s="110"/>
      <c r="C27" s="2"/>
      <c r="D27" s="2"/>
      <c r="E27" s="2">
        <v>50229554.060000002</v>
      </c>
      <c r="F27" s="2">
        <v>49311505.640000001</v>
      </c>
      <c r="G27" s="2">
        <f>54914409.14+4146331.65</f>
        <v>59060740.789999999</v>
      </c>
      <c r="H27" s="2">
        <f>4092516+44233103.62</f>
        <v>48325619.619999997</v>
      </c>
      <c r="I27" s="2">
        <f>4125519+52000853.47</f>
        <v>56126372.469999999</v>
      </c>
      <c r="J27" s="2">
        <f>4092516+48802373.86</f>
        <v>52894889.859999999</v>
      </c>
      <c r="K27" s="2">
        <f>4106722+58655126.14</f>
        <v>62761848.140000001</v>
      </c>
      <c r="L27" s="2">
        <f>4092516+51722209.7</f>
        <v>55814725.700000003</v>
      </c>
      <c r="M27" s="2">
        <f>3726327.65+62112387.9</f>
        <v>65838715.549999997</v>
      </c>
      <c r="N27" s="2">
        <f>51679075.14+3711331.65</f>
        <v>55390406.789999999</v>
      </c>
      <c r="O27" s="2">
        <f>3292052+59912517.14</f>
        <v>63204569.140000001</v>
      </c>
      <c r="P27" s="2">
        <f>3292052+59912517.14</f>
        <v>63204569.140000001</v>
      </c>
      <c r="Q27" s="2">
        <f>59493077.9+3296661.65</f>
        <v>62789739.549999997</v>
      </c>
      <c r="R27" s="2">
        <f>3296661.65+52221949.14</f>
        <v>55518610.789999999</v>
      </c>
      <c r="S27" s="2">
        <f>58887656.94+3311445.65</f>
        <v>62199102.589999996</v>
      </c>
      <c r="T27" s="2">
        <f>3296661.65+52221949.14</f>
        <v>55518610.789999999</v>
      </c>
      <c r="U27" s="2">
        <f>56222191.94+3311445.65</f>
        <v>59533637.589999996</v>
      </c>
      <c r="V27" s="2">
        <f>3311445.65+56222191.94</f>
        <v>59533637.589999996</v>
      </c>
      <c r="W27" s="2">
        <f>1281078.35+54292200.96</f>
        <v>55573279.310000002</v>
      </c>
      <c r="X27" s="2">
        <f>54292200.96+1281078.35</f>
        <v>55573279.310000002</v>
      </c>
      <c r="Y27" s="2">
        <v>55305512.479999997</v>
      </c>
      <c r="Z27" s="2">
        <v>55305512.479999997</v>
      </c>
      <c r="AA27" s="16">
        <v>12430432.640000001</v>
      </c>
      <c r="AB27" s="16">
        <v>12430432.640000001</v>
      </c>
      <c r="AC27" s="16">
        <v>19001954.52</v>
      </c>
      <c r="AD27" s="16">
        <v>19001954.52</v>
      </c>
      <c r="AE27" s="23">
        <f>8958+7347927.08</f>
        <v>7356885.0800000001</v>
      </c>
      <c r="AF27" s="13"/>
      <c r="AG27" s="23">
        <f>8958+6907494.08</f>
        <v>6916452.0800000001</v>
      </c>
      <c r="AH27" s="13"/>
      <c r="AI27" s="16">
        <f>2101880.84+3050643.64</f>
        <v>5152524.4800000004</v>
      </c>
      <c r="AJ27" s="16"/>
      <c r="AK27" s="16">
        <f>2101856.09+3050642.64</f>
        <v>5152498.7300000004</v>
      </c>
      <c r="AL27" s="16"/>
      <c r="AM27" s="16">
        <f>3641451.09+5402270.65</f>
        <v>9043721.7400000002</v>
      </c>
      <c r="AN27" s="16"/>
      <c r="AO27" s="16">
        <f>3641451.09+5402270.65</f>
        <v>9043721.7400000002</v>
      </c>
      <c r="AP27" s="16"/>
      <c r="AQ27" s="24" t="s">
        <v>42</v>
      </c>
      <c r="AR27" s="24"/>
    </row>
    <row r="28" spans="1:47" ht="31.5" customHeight="1" x14ac:dyDescent="0.25">
      <c r="A28" s="109" t="s">
        <v>16</v>
      </c>
      <c r="B28" s="1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30781549.66</v>
      </c>
      <c r="Z28" s="2">
        <v>30779212.829999998</v>
      </c>
      <c r="AA28" s="16">
        <f>3305399.51+525.46</f>
        <v>3305924.9699999997</v>
      </c>
      <c r="AB28" s="16">
        <v>1468652.52</v>
      </c>
      <c r="AC28" s="16">
        <f>37418429.35+92913.85</f>
        <v>37511343.200000003</v>
      </c>
      <c r="AD28" s="16">
        <v>35708297.810000002</v>
      </c>
      <c r="AE28" s="23">
        <f>27144292.69+67092.49</f>
        <v>27211385.18</v>
      </c>
      <c r="AF28" s="13"/>
      <c r="AG28" s="23">
        <v>25563940.289999999</v>
      </c>
      <c r="AH28" s="13"/>
      <c r="AI28" s="16">
        <f>5363159.41+45867.6+4665</f>
        <v>5413692.0099999998</v>
      </c>
      <c r="AJ28" s="16">
        <f>45867.6+2181170.99</f>
        <v>2227038.5900000003</v>
      </c>
      <c r="AK28" s="16">
        <v>3181988.42</v>
      </c>
      <c r="AL28" s="16"/>
      <c r="AM28" s="16">
        <v>884491.21</v>
      </c>
      <c r="AN28" s="16">
        <v>884491.21</v>
      </c>
      <c r="AO28" s="16"/>
      <c r="AP28" s="16"/>
      <c r="AQ28" s="24"/>
      <c r="AR28" s="24"/>
    </row>
    <row r="29" spans="1:47" x14ac:dyDescent="0.25">
      <c r="A29" s="111" t="s">
        <v>3</v>
      </c>
      <c r="B29" s="112"/>
      <c r="C29" s="115">
        <v>-7680.14</v>
      </c>
      <c r="D29" s="115">
        <f>SUM(D31:D35)</f>
        <v>0</v>
      </c>
      <c r="E29" s="115">
        <f t="shared" ref="E29:AD29" si="5">SUM(E31:E35)</f>
        <v>0</v>
      </c>
      <c r="F29" s="115">
        <f t="shared" si="5"/>
        <v>0</v>
      </c>
      <c r="G29" s="115">
        <f t="shared" si="5"/>
        <v>114426.95</v>
      </c>
      <c r="H29" s="115">
        <f t="shared" si="5"/>
        <v>0</v>
      </c>
      <c r="I29" s="115">
        <f t="shared" si="5"/>
        <v>88290.77</v>
      </c>
      <c r="J29" s="115">
        <f t="shared" si="5"/>
        <v>0</v>
      </c>
      <c r="K29" s="115">
        <f t="shared" si="5"/>
        <v>51440.42</v>
      </c>
      <c r="L29" s="115">
        <f t="shared" si="5"/>
        <v>0</v>
      </c>
      <c r="M29" s="115">
        <f t="shared" si="5"/>
        <v>169857.58</v>
      </c>
      <c r="N29" s="115">
        <f t="shared" si="5"/>
        <v>0</v>
      </c>
      <c r="O29" s="115">
        <f t="shared" si="5"/>
        <v>77731.77</v>
      </c>
      <c r="P29" s="115">
        <f t="shared" si="5"/>
        <v>0</v>
      </c>
      <c r="Q29" s="115">
        <f t="shared" si="5"/>
        <v>55035.07</v>
      </c>
      <c r="R29" s="115">
        <f t="shared" si="5"/>
        <v>0</v>
      </c>
      <c r="S29" s="115">
        <f t="shared" si="5"/>
        <v>80513.679999999993</v>
      </c>
      <c r="T29" s="115">
        <f t="shared" si="5"/>
        <v>0</v>
      </c>
      <c r="U29" s="115">
        <f t="shared" si="5"/>
        <v>77945.259999999995</v>
      </c>
      <c r="V29" s="115">
        <f t="shared" si="5"/>
        <v>0</v>
      </c>
      <c r="W29" s="115">
        <f t="shared" si="5"/>
        <v>84064.9</v>
      </c>
      <c r="X29" s="115">
        <f t="shared" si="5"/>
        <v>0</v>
      </c>
      <c r="Y29" s="115">
        <f t="shared" si="5"/>
        <v>0</v>
      </c>
      <c r="Z29" s="115">
        <f t="shared" si="5"/>
        <v>0</v>
      </c>
      <c r="AA29" s="128">
        <f t="shared" si="5"/>
        <v>663721.94999999995</v>
      </c>
      <c r="AB29" s="128">
        <f t="shared" si="5"/>
        <v>0</v>
      </c>
      <c r="AC29" s="128">
        <f t="shared" si="5"/>
        <v>856387.40999999992</v>
      </c>
      <c r="AD29" s="128">
        <f t="shared" si="5"/>
        <v>0</v>
      </c>
      <c r="AE29" s="126">
        <f t="shared" ref="AE29:AL29" si="6">AE31+AE32+AE33+AE34+AE35</f>
        <v>807619</v>
      </c>
      <c r="AF29" s="126">
        <f t="shared" si="6"/>
        <v>0</v>
      </c>
      <c r="AG29" s="126">
        <f t="shared" si="6"/>
        <v>0</v>
      </c>
      <c r="AH29" s="126">
        <f t="shared" si="6"/>
        <v>0</v>
      </c>
      <c r="AI29" s="122">
        <f t="shared" si="6"/>
        <v>1745805.9500000002</v>
      </c>
      <c r="AJ29" s="122">
        <f t="shared" si="6"/>
        <v>0</v>
      </c>
      <c r="AK29" s="122">
        <v>0</v>
      </c>
      <c r="AL29" s="122">
        <f t="shared" si="6"/>
        <v>0</v>
      </c>
      <c r="AM29" s="122">
        <f>AM31+AM32+AM33+AM34+AM35</f>
        <v>1194696.18</v>
      </c>
      <c r="AN29" s="122">
        <f>AN31+AN32+AN33+AN34+AN35</f>
        <v>0</v>
      </c>
      <c r="AO29" s="122">
        <f>AO31+AO32+AO33+AO34+AO35</f>
        <v>0</v>
      </c>
      <c r="AP29" s="122">
        <f>AP31+AP32+AP33+AP34+AP35</f>
        <v>0</v>
      </c>
      <c r="AQ29" s="116">
        <f>AM29/AI29-1</f>
        <v>-0.31567641867642859</v>
      </c>
      <c r="AR29" s="116" t="e">
        <f>AO29/AK29-1</f>
        <v>#DIV/0!</v>
      </c>
    </row>
    <row r="30" spans="1:47" x14ac:dyDescent="0.25">
      <c r="A30" s="113"/>
      <c r="B30" s="11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5"/>
      <c r="AB30" s="125"/>
      <c r="AC30" s="125"/>
      <c r="AD30" s="125"/>
      <c r="AE30" s="127"/>
      <c r="AF30" s="127"/>
      <c r="AG30" s="127"/>
      <c r="AH30" s="127"/>
      <c r="AI30" s="123"/>
      <c r="AJ30" s="123"/>
      <c r="AK30" s="123"/>
      <c r="AL30" s="123"/>
      <c r="AM30" s="123"/>
      <c r="AN30" s="123"/>
      <c r="AO30" s="123"/>
      <c r="AP30" s="123"/>
      <c r="AQ30" s="117"/>
      <c r="AR30" s="117"/>
    </row>
    <row r="31" spans="1:47" ht="43.5" customHeight="1" x14ac:dyDescent="0.25">
      <c r="A31" s="109" t="s">
        <v>11</v>
      </c>
      <c r="B31" s="110"/>
      <c r="C31" s="2">
        <v>0</v>
      </c>
      <c r="D31" s="2"/>
      <c r="E31" s="2">
        <v>0</v>
      </c>
      <c r="F31" s="2"/>
      <c r="G31" s="2">
        <v>114426.95</v>
      </c>
      <c r="H31" s="2"/>
      <c r="I31" s="2">
        <v>88290.77</v>
      </c>
      <c r="J31" s="2"/>
      <c r="K31" s="2">
        <v>51440.42</v>
      </c>
      <c r="L31" s="2"/>
      <c r="M31" s="2">
        <v>169857.58</v>
      </c>
      <c r="N31" s="2"/>
      <c r="O31" s="2">
        <v>77731.77</v>
      </c>
      <c r="P31" s="2"/>
      <c r="Q31" s="2">
        <v>55035.07</v>
      </c>
      <c r="R31" s="2"/>
      <c r="S31" s="2">
        <v>80513.679999999993</v>
      </c>
      <c r="T31" s="2"/>
      <c r="U31" s="2">
        <v>77945.259999999995</v>
      </c>
      <c r="V31" s="2"/>
      <c r="W31" s="2">
        <v>84064.9</v>
      </c>
      <c r="X31" s="2"/>
      <c r="Y31" s="2"/>
      <c r="Z31" s="2"/>
      <c r="AA31" s="16">
        <v>4839.6099999999997</v>
      </c>
      <c r="AB31" s="16"/>
      <c r="AC31" s="16">
        <v>85242.16</v>
      </c>
      <c r="AD31" s="13"/>
      <c r="AE31" s="23">
        <v>172973.85</v>
      </c>
      <c r="AF31" s="23"/>
      <c r="AG31" s="23"/>
      <c r="AH31" s="23"/>
      <c r="AI31" s="16">
        <f>72200.43+5275.44</f>
        <v>77475.87</v>
      </c>
      <c r="AJ31" s="16"/>
      <c r="AK31" s="16"/>
      <c r="AL31" s="16"/>
      <c r="AM31" s="16">
        <f>162639.52+8320.46</f>
        <v>170959.97999999998</v>
      </c>
      <c r="AN31" s="16"/>
      <c r="AO31" s="16"/>
      <c r="AP31" s="16"/>
      <c r="AQ31" s="24"/>
      <c r="AR31" s="24"/>
    </row>
    <row r="32" spans="1:47" ht="18.600000000000001" customHeight="1" x14ac:dyDescent="0.25">
      <c r="A32" s="109" t="s">
        <v>8</v>
      </c>
      <c r="B32" s="1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>
        <v>446550.73</v>
      </c>
      <c r="AB32" s="16"/>
      <c r="AC32" s="16">
        <v>451706.16</v>
      </c>
      <c r="AD32" s="13"/>
      <c r="AE32" s="23">
        <v>291019.77</v>
      </c>
      <c r="AF32" s="23"/>
      <c r="AG32" s="23"/>
      <c r="AH32" s="23"/>
      <c r="AI32" s="16">
        <f>696234.36+399212.22</f>
        <v>1095446.58</v>
      </c>
      <c r="AJ32" s="16"/>
      <c r="AK32" s="16"/>
      <c r="AL32" s="16"/>
      <c r="AM32" s="16">
        <f>374303.62+286152.62</f>
        <v>660456.24</v>
      </c>
      <c r="AN32" s="16"/>
      <c r="AO32" s="16"/>
      <c r="AP32" s="16"/>
      <c r="AQ32" s="24"/>
      <c r="AR32" s="24"/>
    </row>
    <row r="33" spans="1:44" x14ac:dyDescent="0.25">
      <c r="A33" s="109" t="s">
        <v>9</v>
      </c>
      <c r="B33" s="110"/>
      <c r="C33" s="2">
        <v>0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23"/>
      <c r="AC33" s="16"/>
      <c r="AD33" s="13"/>
      <c r="AE33" s="23"/>
      <c r="AF33" s="23"/>
      <c r="AG33" s="23"/>
      <c r="AH33" s="23"/>
      <c r="AI33" s="16"/>
      <c r="AJ33" s="16"/>
      <c r="AK33" s="16"/>
      <c r="AL33" s="16"/>
      <c r="AM33" s="16"/>
      <c r="AN33" s="16"/>
      <c r="AO33" s="16"/>
      <c r="AP33" s="16"/>
      <c r="AQ33" s="24"/>
      <c r="AR33" s="24"/>
    </row>
    <row r="34" spans="1:44" x14ac:dyDescent="0.25">
      <c r="A34" s="109" t="s">
        <v>10</v>
      </c>
      <c r="B34" s="1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>
        <v>212331.61</v>
      </c>
      <c r="AB34" s="16"/>
      <c r="AC34" s="16">
        <v>319439.09000000003</v>
      </c>
      <c r="AD34" s="13"/>
      <c r="AE34" s="23">
        <v>343625.38</v>
      </c>
      <c r="AF34" s="23"/>
      <c r="AG34" s="23"/>
      <c r="AH34" s="23"/>
      <c r="AI34" s="16">
        <f>340695.57+232187.93</f>
        <v>572883.5</v>
      </c>
      <c r="AJ34" s="16"/>
      <c r="AK34" s="16"/>
      <c r="AL34" s="16"/>
      <c r="AM34" s="16">
        <f>226067.2+137212.76</f>
        <v>363279.96</v>
      </c>
      <c r="AN34" s="16"/>
      <c r="AO34" s="16"/>
      <c r="AP34" s="16"/>
      <c r="AQ34" s="24"/>
      <c r="AR34" s="24"/>
    </row>
    <row r="35" spans="1:44" x14ac:dyDescent="0.25">
      <c r="A35" s="109" t="s">
        <v>16</v>
      </c>
      <c r="B35" s="1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/>
      <c r="AB35" s="13"/>
      <c r="AC35" s="13"/>
      <c r="AD35" s="13"/>
      <c r="AE35" s="13"/>
      <c r="AF35" s="13"/>
      <c r="AG35" s="13"/>
      <c r="AH35" s="13"/>
      <c r="AI35" s="16"/>
      <c r="AJ35" s="16"/>
      <c r="AK35" s="16"/>
      <c r="AL35" s="16"/>
      <c r="AM35" s="16"/>
      <c r="AN35" s="16"/>
      <c r="AO35" s="16"/>
      <c r="AP35" s="16"/>
      <c r="AQ35" s="24"/>
      <c r="AR35" s="24"/>
    </row>
    <row r="36" spans="1:44" x14ac:dyDescent="0.25">
      <c r="A36" s="111" t="s">
        <v>19</v>
      </c>
      <c r="B36" s="112"/>
      <c r="C36" s="115">
        <v>24738.76</v>
      </c>
      <c r="D36" s="115">
        <f t="shared" ref="D36:Z36" si="7">SUM(D38:D42)</f>
        <v>0</v>
      </c>
      <c r="E36" s="115">
        <f t="shared" si="7"/>
        <v>162585.41</v>
      </c>
      <c r="F36" s="115">
        <f t="shared" si="7"/>
        <v>0</v>
      </c>
      <c r="G36" s="115">
        <f t="shared" si="7"/>
        <v>2836261.8599999994</v>
      </c>
      <c r="H36" s="115">
        <f t="shared" si="7"/>
        <v>179639.45</v>
      </c>
      <c r="I36" s="115">
        <f t="shared" si="7"/>
        <v>2968161.5</v>
      </c>
      <c r="J36" s="115">
        <f t="shared" si="7"/>
        <v>179639.45</v>
      </c>
      <c r="K36" s="115">
        <f t="shared" si="7"/>
        <v>3579888.6599999997</v>
      </c>
      <c r="L36" s="115">
        <f t="shared" si="7"/>
        <v>179639.45</v>
      </c>
      <c r="M36" s="115">
        <f t="shared" si="7"/>
        <v>2288254.44</v>
      </c>
      <c r="N36" s="115">
        <f t="shared" si="7"/>
        <v>179639.45</v>
      </c>
      <c r="O36" s="115">
        <f t="shared" si="7"/>
        <v>2699902.61</v>
      </c>
      <c r="P36" s="115">
        <f t="shared" si="7"/>
        <v>179639.45</v>
      </c>
      <c r="Q36" s="115">
        <f t="shared" si="7"/>
        <v>2782603.59</v>
      </c>
      <c r="R36" s="115">
        <f t="shared" si="7"/>
        <v>179639.45</v>
      </c>
      <c r="S36" s="115">
        <f t="shared" si="7"/>
        <v>2615855.7999999998</v>
      </c>
      <c r="T36" s="115">
        <f t="shared" si="7"/>
        <v>179639.45</v>
      </c>
      <c r="U36" s="115">
        <f t="shared" si="7"/>
        <v>2483055.5499999998</v>
      </c>
      <c r="V36" s="115">
        <f t="shared" si="7"/>
        <v>142806.04</v>
      </c>
      <c r="W36" s="115">
        <f t="shared" si="7"/>
        <v>2680559.16</v>
      </c>
      <c r="X36" s="115">
        <f t="shared" si="7"/>
        <v>142806.04</v>
      </c>
      <c r="Y36" s="115">
        <f t="shared" si="7"/>
        <v>79878.12999999999</v>
      </c>
      <c r="Z36" s="115">
        <f t="shared" si="7"/>
        <v>0</v>
      </c>
      <c r="AA36" s="128">
        <f>SUM(AA38:AA42)</f>
        <v>2592606.9299999997</v>
      </c>
      <c r="AB36" s="128">
        <f>SUM(AB38:AB42)</f>
        <v>0</v>
      </c>
      <c r="AC36" s="128">
        <f>SUM(AC38:AC42)</f>
        <v>4410926.9800000004</v>
      </c>
      <c r="AD36" s="128">
        <f>SUM(AD38:AD42)</f>
        <v>1508980.59</v>
      </c>
      <c r="AE36" s="126">
        <f t="shared" ref="AE36:AJ36" si="8">AE38+AE39+AE40+AE41+AE42</f>
        <v>6043790.8399999999</v>
      </c>
      <c r="AF36" s="126">
        <f t="shared" si="8"/>
        <v>5996669.2400000002</v>
      </c>
      <c r="AG36" s="126">
        <f t="shared" si="8"/>
        <v>1880593.8800000001</v>
      </c>
      <c r="AH36" s="126">
        <f t="shared" si="8"/>
        <v>1880593.88</v>
      </c>
      <c r="AI36" s="122">
        <f t="shared" si="8"/>
        <v>4401686.4800000004</v>
      </c>
      <c r="AJ36" s="122">
        <f t="shared" si="8"/>
        <v>4300435.1999999993</v>
      </c>
      <c r="AK36" s="122">
        <v>0</v>
      </c>
      <c r="AL36" s="122">
        <v>0</v>
      </c>
      <c r="AM36" s="122">
        <f>AM38+AM39+AM40+AM41+AM42</f>
        <v>5435201.4100000001</v>
      </c>
      <c r="AN36" s="122">
        <f>AN38+AN39+AN40+AN41+AN42</f>
        <v>5348135.0199999996</v>
      </c>
      <c r="AO36" s="122">
        <f>AO38+AO39+AO40+AO41+AO42</f>
        <v>0</v>
      </c>
      <c r="AP36" s="122">
        <f>AP38+AP39+AP40+AP41+AP42</f>
        <v>0</v>
      </c>
      <c r="AQ36" s="116">
        <f>AM36/AI36-1</f>
        <v>0.23479976020463855</v>
      </c>
      <c r="AR36" s="116" t="e">
        <f>AO36/AK36-1</f>
        <v>#DIV/0!</v>
      </c>
    </row>
    <row r="37" spans="1:44" x14ac:dyDescent="0.25">
      <c r="A37" s="113"/>
      <c r="B37" s="11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5"/>
      <c r="AB37" s="125"/>
      <c r="AC37" s="125"/>
      <c r="AD37" s="125"/>
      <c r="AE37" s="127"/>
      <c r="AF37" s="127"/>
      <c r="AG37" s="127"/>
      <c r="AH37" s="127"/>
      <c r="AI37" s="123"/>
      <c r="AJ37" s="123"/>
      <c r="AK37" s="123"/>
      <c r="AL37" s="123"/>
      <c r="AM37" s="123"/>
      <c r="AN37" s="123"/>
      <c r="AO37" s="123"/>
      <c r="AP37" s="123"/>
      <c r="AQ37" s="117"/>
      <c r="AR37" s="117"/>
    </row>
    <row r="38" spans="1:44" x14ac:dyDescent="0.25">
      <c r="A38" s="109" t="s">
        <v>11</v>
      </c>
      <c r="B38" s="110"/>
      <c r="C38" s="2"/>
      <c r="D38" s="2"/>
      <c r="E38" s="2">
        <v>162585.41</v>
      </c>
      <c r="F38" s="2"/>
      <c r="G38" s="2">
        <f>410855.69+138863.03</f>
        <v>549718.72</v>
      </c>
      <c r="H38" s="2">
        <v>179639.45</v>
      </c>
      <c r="I38" s="2">
        <f>349786.74+482870.23</f>
        <v>832656.97</v>
      </c>
      <c r="J38" s="2">
        <v>179639.45</v>
      </c>
      <c r="K38" s="2">
        <f>325550.4+256894.84</f>
        <v>582445.24</v>
      </c>
      <c r="L38" s="2">
        <v>179639.45</v>
      </c>
      <c r="M38" s="2">
        <f>32098.35+367708.31</f>
        <v>399806.66</v>
      </c>
      <c r="N38" s="2">
        <v>179639.45</v>
      </c>
      <c r="O38" s="2">
        <f>19053.66+339996.73</f>
        <v>359050.38999999996</v>
      </c>
      <c r="P38" s="2">
        <v>179639.45</v>
      </c>
      <c r="Q38" s="2">
        <f>214101.64+184501.39</f>
        <v>398603.03</v>
      </c>
      <c r="R38" s="2">
        <v>179639.45</v>
      </c>
      <c r="S38" s="2">
        <f>293392.92+82646.26</f>
        <v>376039.18</v>
      </c>
      <c r="T38" s="2">
        <v>179639.45</v>
      </c>
      <c r="U38" s="2">
        <f>18347.3+293392.92</f>
        <v>311740.21999999997</v>
      </c>
      <c r="V38" s="2">
        <f>142806.04</f>
        <v>142806.04</v>
      </c>
      <c r="W38" s="2">
        <f>175124.05+248350.04</f>
        <v>423474.08999999997</v>
      </c>
      <c r="X38" s="2">
        <v>142806.04</v>
      </c>
      <c r="Y38" s="2">
        <v>99147.76</v>
      </c>
      <c r="Z38" s="2"/>
      <c r="AA38" s="16">
        <f>23731.53+27555.65</f>
        <v>51287.18</v>
      </c>
      <c r="AB38" s="16"/>
      <c r="AC38" s="16">
        <f>36698.81+43106.43</f>
        <v>79805.239999999991</v>
      </c>
      <c r="AD38" s="16"/>
      <c r="AE38" s="23">
        <f>AF38+16412.78</f>
        <v>238760.13999999998</v>
      </c>
      <c r="AF38" s="23">
        <f>104792.76+117554.6</f>
        <v>222347.36</v>
      </c>
      <c r="AG38" s="13"/>
      <c r="AH38" s="23"/>
      <c r="AI38" s="16">
        <f>54159.74+22819.27+80774.94</f>
        <v>157753.95000000001</v>
      </c>
      <c r="AJ38" s="29">
        <f>54159.74+22819.27</f>
        <v>76979.009999999995</v>
      </c>
      <c r="AK38" s="16"/>
      <c r="AL38" s="16"/>
      <c r="AM38" s="16">
        <f>28371.49+12400+245333.71+58755.61</f>
        <v>344860.81</v>
      </c>
      <c r="AN38" s="16">
        <f>28371.49+245333.71</f>
        <v>273705.2</v>
      </c>
      <c r="AO38" s="16"/>
      <c r="AP38" s="16"/>
      <c r="AQ38" s="24"/>
      <c r="AR38" s="24"/>
    </row>
    <row r="39" spans="1:44" x14ac:dyDescent="0.25">
      <c r="A39" s="109" t="s">
        <v>8</v>
      </c>
      <c r="B39" s="110"/>
      <c r="C39" s="2"/>
      <c r="D39" s="2"/>
      <c r="E39" s="2"/>
      <c r="F39" s="2"/>
      <c r="G39" s="2">
        <f>1280106.96+331142.71</f>
        <v>1611249.67</v>
      </c>
      <c r="H39" s="2"/>
      <c r="I39" s="2">
        <f>1112706.33+292125.54</f>
        <v>1404831.87</v>
      </c>
      <c r="J39" s="2"/>
      <c r="K39" s="2">
        <f>1664826.89+424726.47</f>
        <v>2089553.3599999999</v>
      </c>
      <c r="L39" s="2"/>
      <c r="M39" s="2">
        <v>1291836.76</v>
      </c>
      <c r="N39" s="2"/>
      <c r="O39" s="2">
        <f>336869.12+1006180.12</f>
        <v>1343049.24</v>
      </c>
      <c r="P39" s="2"/>
      <c r="Q39" s="2">
        <f>290310.2+1054801</f>
        <v>1345111.2</v>
      </c>
      <c r="R39" s="2"/>
      <c r="S39" s="2">
        <f>210412.6+1031728.18</f>
        <v>1242140.78</v>
      </c>
      <c r="T39" s="2"/>
      <c r="U39" s="2">
        <f>144677.62+1051908.03</f>
        <v>1196585.6499999999</v>
      </c>
      <c r="V39" s="2"/>
      <c r="W39" s="2">
        <f>257630.31+1025805.39</f>
        <v>1283435.7</v>
      </c>
      <c r="X39" s="2"/>
      <c r="Y39" s="2"/>
      <c r="Z39" s="2"/>
      <c r="AA39" s="16">
        <f>367554.1+1092399.95</f>
        <v>1459954.0499999998</v>
      </c>
      <c r="AB39" s="16"/>
      <c r="AC39" s="16">
        <f>413160.07+976030.95</f>
        <v>1389191.02</v>
      </c>
      <c r="AD39" s="16"/>
      <c r="AE39" s="23">
        <f>AF39+20410</f>
        <v>1483828.69</v>
      </c>
      <c r="AF39" s="23">
        <f>399447.7+1063970.99</f>
        <v>1463418.69</v>
      </c>
      <c r="AG39" s="13"/>
      <c r="AH39" s="23"/>
      <c r="AI39" s="16">
        <f>399497.7+11131.38+1854102.36</f>
        <v>2264731.44</v>
      </c>
      <c r="AJ39" s="16">
        <f>399497.7+1854102.36</f>
        <v>2253600.06</v>
      </c>
      <c r="AK39" s="16"/>
      <c r="AL39" s="16"/>
      <c r="AM39" s="16">
        <f>375044.11+50+2711970.87</f>
        <v>3087064.98</v>
      </c>
      <c r="AN39" s="16">
        <f>375044.11+2711970.87</f>
        <v>3087014.98</v>
      </c>
      <c r="AO39" s="16"/>
      <c r="AP39" s="16"/>
      <c r="AQ39" s="24"/>
      <c r="AR39" s="24"/>
    </row>
    <row r="40" spans="1:44" x14ac:dyDescent="0.25">
      <c r="A40" s="109" t="s">
        <v>9</v>
      </c>
      <c r="B40" s="110"/>
      <c r="C40" s="2"/>
      <c r="D40" s="2"/>
      <c r="E40" s="2"/>
      <c r="F40" s="2"/>
      <c r="G40" s="2">
        <f>191330.96+483962.51</f>
        <v>675293.47</v>
      </c>
      <c r="H40" s="2"/>
      <c r="I40" s="2">
        <f>171605.74+559066.92</f>
        <v>730672.66</v>
      </c>
      <c r="J40" s="2"/>
      <c r="K40" s="2">
        <f>209944.24+697945.82</f>
        <v>907890.05999999994</v>
      </c>
      <c r="L40" s="2"/>
      <c r="M40" s="2">
        <v>596611.02</v>
      </c>
      <c r="N40" s="2"/>
      <c r="O40" s="2">
        <f>198862.88+580042.1</f>
        <v>778904.98</v>
      </c>
      <c r="P40" s="2"/>
      <c r="Q40" s="2">
        <f>612669.18+219338.18</f>
        <v>832007.3600000001</v>
      </c>
      <c r="R40" s="2"/>
      <c r="S40" s="2">
        <f>201317.46+630998.38</f>
        <v>832315.84</v>
      </c>
      <c r="T40" s="2"/>
      <c r="U40" s="2">
        <f>184341.93+601701.1</f>
        <v>786043.03</v>
      </c>
      <c r="V40" s="2"/>
      <c r="W40" s="2">
        <f>177715.19+604861.18</f>
        <v>782576.37000000011</v>
      </c>
      <c r="X40" s="2"/>
      <c r="Y40" s="2">
        <v>-9193.7999999999993</v>
      </c>
      <c r="Z40" s="2"/>
      <c r="AA40" s="16">
        <f>254861.86+627161.14</f>
        <v>882023</v>
      </c>
      <c r="AB40" s="16"/>
      <c r="AC40" s="16">
        <f>363441.69+1320113.41</f>
        <v>1683555.0999999999</v>
      </c>
      <c r="AD40" s="16">
        <f>20923.56+643955.03</f>
        <v>664878.59000000008</v>
      </c>
      <c r="AE40" s="23">
        <f>AF40+9183.82</f>
        <v>2863942.15</v>
      </c>
      <c r="AF40" s="23">
        <f>469042.19+2385716.14</f>
        <v>2854758.33</v>
      </c>
      <c r="AG40" s="23">
        <v>1220473.1200000001</v>
      </c>
      <c r="AH40" s="23">
        <f>147655.46+1072817.66</f>
        <v>1220473.1199999999</v>
      </c>
      <c r="AI40" s="16">
        <f>283794.68+8867.96+960334.11</f>
        <v>1252996.75</v>
      </c>
      <c r="AJ40" s="16">
        <f>283794.68+960334.11</f>
        <v>1244128.79</v>
      </c>
      <c r="AK40" s="16"/>
      <c r="AL40" s="16"/>
      <c r="AM40" s="16">
        <f>226315.74+15860.78+1215972.93</f>
        <v>1458149.45</v>
      </c>
      <c r="AN40" s="16">
        <f>226315.74+1215972.93</f>
        <v>1442288.67</v>
      </c>
      <c r="AO40" s="16"/>
      <c r="AP40" s="16"/>
      <c r="AQ40" s="24"/>
      <c r="AR40" s="24"/>
    </row>
    <row r="41" spans="1:44" x14ac:dyDescent="0.25">
      <c r="A41" s="109" t="s">
        <v>10</v>
      </c>
      <c r="B41" s="1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218898</f>
        <v>218898</v>
      </c>
      <c r="P41" s="2"/>
      <c r="Q41" s="2">
        <v>206882</v>
      </c>
      <c r="R41" s="2"/>
      <c r="S41" s="2">
        <v>165360</v>
      </c>
      <c r="T41" s="2"/>
      <c r="U41" s="2">
        <v>188686.65</v>
      </c>
      <c r="V41" s="2"/>
      <c r="W41" s="2">
        <f>191073</f>
        <v>191073</v>
      </c>
      <c r="X41" s="2"/>
      <c r="Y41" s="2">
        <v>-12759</v>
      </c>
      <c r="Z41" s="2"/>
      <c r="AA41" s="16"/>
      <c r="AB41" s="16"/>
      <c r="AC41" s="16"/>
      <c r="AD41" s="16"/>
      <c r="AE41" s="23">
        <f>AF41+1115</f>
        <v>94671.360000000001</v>
      </c>
      <c r="AF41" s="23">
        <v>93556.36</v>
      </c>
      <c r="AG41" s="23"/>
      <c r="AH41" s="23"/>
      <c r="AI41" s="16">
        <f>92285.57+477</f>
        <v>92762.57</v>
      </c>
      <c r="AJ41" s="16">
        <v>92285.57</v>
      </c>
      <c r="AK41" s="16"/>
      <c r="AL41" s="16"/>
      <c r="AM41" s="16"/>
      <c r="AN41" s="16">
        <v>0</v>
      </c>
      <c r="AO41" s="16"/>
      <c r="AP41" s="16"/>
      <c r="AQ41" s="24"/>
      <c r="AR41" s="24"/>
    </row>
    <row r="42" spans="1:44" x14ac:dyDescent="0.25">
      <c r="A42" s="109" t="s">
        <v>16</v>
      </c>
      <c r="B42" s="1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2683.17</v>
      </c>
      <c r="Z42" s="2"/>
      <c r="AA42" s="16">
        <v>199342.7</v>
      </c>
      <c r="AB42" s="16"/>
      <c r="AC42" s="16">
        <f>1258375.62</f>
        <v>1258375.6200000001</v>
      </c>
      <c r="AD42" s="16">
        <v>844102</v>
      </c>
      <c r="AE42" s="23">
        <f>AF42</f>
        <v>1362588.5</v>
      </c>
      <c r="AF42" s="23">
        <v>1362588.5</v>
      </c>
      <c r="AG42" s="23">
        <v>660120.76</v>
      </c>
      <c r="AH42" s="23">
        <v>660120.76</v>
      </c>
      <c r="AI42" s="16">
        <f>633441.77</f>
        <v>633441.77</v>
      </c>
      <c r="AJ42" s="16">
        <v>633441.77</v>
      </c>
      <c r="AK42" s="16"/>
      <c r="AL42" s="16"/>
      <c r="AM42" s="16">
        <f>545126.17</f>
        <v>545126.17000000004</v>
      </c>
      <c r="AN42" s="16">
        <v>545126.17000000004</v>
      </c>
      <c r="AO42" s="16"/>
      <c r="AP42" s="16"/>
      <c r="AQ42" s="24"/>
      <c r="AR42" s="24"/>
    </row>
    <row r="43" spans="1:44" x14ac:dyDescent="0.25">
      <c r="A43" s="111" t="s">
        <v>17</v>
      </c>
      <c r="B43" s="112"/>
      <c r="C43" s="115">
        <v>10765845.27</v>
      </c>
      <c r="D43" s="115">
        <v>7171240.7400000002</v>
      </c>
      <c r="E43" s="115">
        <f>SUM(E45:E49)</f>
        <v>13066265.32</v>
      </c>
      <c r="F43" s="115">
        <f>SUM(F45:F49)</f>
        <v>9363054.25</v>
      </c>
      <c r="G43" s="115">
        <f t="shared" ref="G43:AC43" si="9">SUM(G45:G49)</f>
        <v>12452961.670000002</v>
      </c>
      <c r="H43" s="115">
        <f t="shared" si="9"/>
        <v>10697359.270000001</v>
      </c>
      <c r="I43" s="115">
        <f t="shared" si="9"/>
        <v>10509503.82</v>
      </c>
      <c r="J43" s="115">
        <f t="shared" si="9"/>
        <v>9311032.910000002</v>
      </c>
      <c r="K43" s="115">
        <f t="shared" si="9"/>
        <v>9816963.7700000014</v>
      </c>
      <c r="L43" s="115">
        <f t="shared" si="9"/>
        <v>9514146.0000000019</v>
      </c>
      <c r="M43" s="115">
        <f t="shared" si="9"/>
        <v>10491903.119999999</v>
      </c>
      <c r="N43" s="115">
        <f t="shared" si="9"/>
        <v>10223094.629999999</v>
      </c>
      <c r="O43" s="115">
        <f t="shared" si="9"/>
        <v>11041075.82</v>
      </c>
      <c r="P43" s="115">
        <f t="shared" si="9"/>
        <v>9852688.540000001</v>
      </c>
      <c r="Q43" s="115">
        <f t="shared" si="9"/>
        <v>11491967.560000001</v>
      </c>
      <c r="R43" s="115">
        <f t="shared" si="9"/>
        <v>9865070.0600000005</v>
      </c>
      <c r="S43" s="115">
        <f t="shared" si="9"/>
        <v>12060303.5</v>
      </c>
      <c r="T43" s="115">
        <f t="shared" si="9"/>
        <v>10862190.040000001</v>
      </c>
      <c r="U43" s="115">
        <f t="shared" si="9"/>
        <v>11619250.300000001</v>
      </c>
      <c r="V43" s="115">
        <f t="shared" si="9"/>
        <v>9816511.040000001</v>
      </c>
      <c r="W43" s="115">
        <f t="shared" si="9"/>
        <v>11514591.1</v>
      </c>
      <c r="X43" s="115">
        <f t="shared" si="9"/>
        <v>10293165.02</v>
      </c>
      <c r="Y43" s="115">
        <f t="shared" si="9"/>
        <v>14972637.870000001</v>
      </c>
      <c r="Z43" s="115">
        <f t="shared" si="9"/>
        <v>11006589.689999999</v>
      </c>
      <c r="AA43" s="128">
        <f t="shared" si="9"/>
        <v>11434380.700000001</v>
      </c>
      <c r="AB43" s="128">
        <f t="shared" si="9"/>
        <v>1118646.56</v>
      </c>
      <c r="AC43" s="128">
        <f t="shared" si="9"/>
        <v>20378851.969999999</v>
      </c>
      <c r="AD43" s="128">
        <f t="shared" ref="AD43:AK43" si="10">AD45+AD46+AD47+AD48+AD49</f>
        <v>6845671.4899999993</v>
      </c>
      <c r="AE43" s="126">
        <f t="shared" si="10"/>
        <v>21821924</v>
      </c>
      <c r="AF43" s="126">
        <f t="shared" si="10"/>
        <v>1624721</v>
      </c>
      <c r="AG43" s="126">
        <f t="shared" si="10"/>
        <v>8640587.1999999993</v>
      </c>
      <c r="AH43" s="126">
        <f t="shared" si="10"/>
        <v>0</v>
      </c>
      <c r="AI43" s="122">
        <f t="shared" si="10"/>
        <v>16329235.25</v>
      </c>
      <c r="AJ43" s="122">
        <v>0</v>
      </c>
      <c r="AK43" s="122">
        <f t="shared" si="10"/>
        <v>5018242.82</v>
      </c>
      <c r="AL43" s="122">
        <v>0</v>
      </c>
      <c r="AM43" s="122">
        <f>AM45+AM46+AM47+AM48+AM49</f>
        <v>14940539.84</v>
      </c>
      <c r="AN43" s="122">
        <f>AN45+AN46+AN47+AN48+AN49</f>
        <v>0</v>
      </c>
      <c r="AO43" s="122">
        <f>AO45+AO46+AO47+AO48+AO49</f>
        <v>3457083</v>
      </c>
      <c r="AP43" s="122">
        <f>AP45+AP46+AP47+AP48+AP49</f>
        <v>0</v>
      </c>
      <c r="AQ43" s="116">
        <f>AM43/AI43-1</f>
        <v>-8.5043505635084782E-2</v>
      </c>
      <c r="AR43" s="116">
        <f>AO43/AK43-1</f>
        <v>-0.31109690702451909</v>
      </c>
    </row>
    <row r="44" spans="1:44" x14ac:dyDescent="0.25">
      <c r="A44" s="113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5"/>
      <c r="AB44" s="125"/>
      <c r="AC44" s="125"/>
      <c r="AD44" s="125"/>
      <c r="AE44" s="127"/>
      <c r="AF44" s="127"/>
      <c r="AG44" s="127"/>
      <c r="AH44" s="127"/>
      <c r="AI44" s="123"/>
      <c r="AJ44" s="123"/>
      <c r="AK44" s="123"/>
      <c r="AL44" s="123"/>
      <c r="AM44" s="123"/>
      <c r="AN44" s="123"/>
      <c r="AO44" s="123"/>
      <c r="AP44" s="123"/>
      <c r="AQ44" s="117"/>
      <c r="AR44" s="117"/>
    </row>
    <row r="45" spans="1:44" x14ac:dyDescent="0.25">
      <c r="A45" s="109" t="s">
        <v>11</v>
      </c>
      <c r="B45" s="110"/>
      <c r="C45" s="2"/>
      <c r="D45" s="2"/>
      <c r="E45" s="2">
        <v>1445875.56</v>
      </c>
      <c r="F45" s="2">
        <v>504057.32</v>
      </c>
      <c r="G45" s="2">
        <f>15780.83+1401592.32</f>
        <v>1417373.1500000001</v>
      </c>
      <c r="H45" s="2">
        <f>497307.75</f>
        <v>497307.75</v>
      </c>
      <c r="I45" s="2">
        <f>14359.15+1094634.15</f>
        <v>1108993.2999999998</v>
      </c>
      <c r="J45" s="2">
        <v>581610.39</v>
      </c>
      <c r="K45" s="2">
        <f>45290.3+812014.95</f>
        <v>857305.25</v>
      </c>
      <c r="L45" s="2">
        <v>554487.48</v>
      </c>
      <c r="M45" s="2">
        <f>22392+828113.09</f>
        <v>850505.09</v>
      </c>
      <c r="N45" s="2">
        <f>581696.6</f>
        <v>581696.6</v>
      </c>
      <c r="O45" s="2">
        <f>24207.15+1590490.12</f>
        <v>1614697.27</v>
      </c>
      <c r="P45" s="2">
        <f>484794.48</f>
        <v>484794.48</v>
      </c>
      <c r="Q45" s="2">
        <v>1906086.62</v>
      </c>
      <c r="R45" s="2"/>
      <c r="S45" s="2">
        <f>23600.15+1705289.54</f>
        <v>1728889.69</v>
      </c>
      <c r="T45" s="2">
        <v>530776.23</v>
      </c>
      <c r="U45" s="2">
        <f>2268996.34+30919.15</f>
        <v>2299915.4899999998</v>
      </c>
      <c r="V45" s="2">
        <v>497176.23</v>
      </c>
      <c r="W45" s="2">
        <f>2127960.81+48959.2</f>
        <v>2176920.0100000002</v>
      </c>
      <c r="X45" s="2">
        <v>955493.93</v>
      </c>
      <c r="Y45" s="2">
        <v>2219644.2799999998</v>
      </c>
      <c r="Z45" s="2">
        <f>782752.86</f>
        <v>782752.86</v>
      </c>
      <c r="AA45" s="16">
        <f>25455.33+3676740.99</f>
        <v>3702196.3200000003</v>
      </c>
      <c r="AB45" s="16">
        <v>370926</v>
      </c>
      <c r="AC45" s="16">
        <f>25119.87+10218497.79</f>
        <v>10243617.659999998</v>
      </c>
      <c r="AD45" s="16">
        <v>3812324.48</v>
      </c>
      <c r="AE45" s="23">
        <f>92866+7505896.09</f>
        <v>7598762.0899999999</v>
      </c>
      <c r="AF45" s="23">
        <v>1624721</v>
      </c>
      <c r="AG45" s="23">
        <v>1546341.78</v>
      </c>
      <c r="AH45" s="13"/>
      <c r="AI45" s="16">
        <f>36469.87+5446750.25</f>
        <v>5483220.1200000001</v>
      </c>
      <c r="AJ45" s="33">
        <v>0</v>
      </c>
      <c r="AK45" s="16">
        <v>2700000</v>
      </c>
      <c r="AL45" s="16">
        <v>0</v>
      </c>
      <c r="AM45" s="16">
        <f>32854.78+4891505.7</f>
        <v>4924360.4800000004</v>
      </c>
      <c r="AN45" s="16"/>
      <c r="AO45" s="16">
        <v>2700000</v>
      </c>
      <c r="AP45" s="16"/>
      <c r="AQ45" s="24"/>
      <c r="AR45" s="24"/>
    </row>
    <row r="46" spans="1:44" x14ac:dyDescent="0.25">
      <c r="A46" s="109" t="s">
        <v>8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107414.79</v>
      </c>
      <c r="R46" s="2"/>
      <c r="S46" s="2"/>
      <c r="T46" s="2"/>
      <c r="U46" s="2"/>
      <c r="V46" s="2"/>
      <c r="W46" s="2"/>
      <c r="X46" s="2"/>
      <c r="Y46" s="2"/>
      <c r="Z46" s="2"/>
      <c r="AA46" s="16">
        <f>240366.78+3338386.23</f>
        <v>3578753.01</v>
      </c>
      <c r="AB46" s="16"/>
      <c r="AC46" s="16">
        <f>213303.85+3570475.36</f>
        <v>3783779.21</v>
      </c>
      <c r="AD46" s="16"/>
      <c r="AE46" s="23">
        <f>1048316.56+3892857.12</f>
        <v>4941173.68</v>
      </c>
      <c r="AF46" s="13"/>
      <c r="AG46" s="23"/>
      <c r="AH46" s="13"/>
      <c r="AI46" s="16">
        <f>1013379.37+4504888.09</f>
        <v>5518267.46</v>
      </c>
      <c r="AJ46" s="16"/>
      <c r="AK46" s="16"/>
      <c r="AL46" s="16"/>
      <c r="AM46" s="16">
        <f>1213158.76+5571205.34</f>
        <v>6784364.0999999996</v>
      </c>
      <c r="AN46" s="16"/>
      <c r="AO46" s="16"/>
      <c r="AP46" s="16"/>
      <c r="AQ46" s="24"/>
      <c r="AR46" s="24"/>
    </row>
    <row r="47" spans="1:44" x14ac:dyDescent="0.25">
      <c r="A47" s="109" t="s">
        <v>9</v>
      </c>
      <c r="B47" s="110"/>
      <c r="C47" s="2"/>
      <c r="D47" s="2"/>
      <c r="E47" s="2">
        <v>1463841.51</v>
      </c>
      <c r="F47" s="2"/>
      <c r="G47" s="2">
        <v>166700</v>
      </c>
      <c r="H47" s="2"/>
      <c r="I47" s="2"/>
      <c r="J47" s="2"/>
      <c r="K47" s="2"/>
      <c r="L47" s="2"/>
      <c r="M47" s="2"/>
      <c r="N47" s="2"/>
      <c r="O47" s="2">
        <v>27151.16</v>
      </c>
      <c r="P47" s="2"/>
      <c r="Q47" s="2">
        <v>78572.100000000006</v>
      </c>
      <c r="R47" s="2"/>
      <c r="S47" s="2"/>
      <c r="T47" s="2"/>
      <c r="U47" s="2"/>
      <c r="V47" s="2"/>
      <c r="W47" s="2"/>
      <c r="X47" s="2"/>
      <c r="Y47" s="2">
        <v>1439851.12</v>
      </c>
      <c r="Z47" s="2"/>
      <c r="AA47" s="16">
        <f>182858.49+1828141.64</f>
        <v>2011000.13</v>
      </c>
      <c r="AB47" s="16"/>
      <c r="AC47" s="16">
        <f>194574.38+2050743.86</f>
        <v>2245318.2400000002</v>
      </c>
      <c r="AD47" s="16"/>
      <c r="AE47" s="23">
        <f>763510.32+2959710.97+0.85</f>
        <v>3723222.14</v>
      </c>
      <c r="AF47" s="13"/>
      <c r="AG47" s="23">
        <f>317932.16+1222488.09</f>
        <v>1540420.25</v>
      </c>
      <c r="AH47" s="13"/>
      <c r="AI47" s="16">
        <f>840855.82+2166721.03</f>
        <v>3007576.8499999996</v>
      </c>
      <c r="AJ47" s="16"/>
      <c r="AK47" s="16"/>
      <c r="AL47" s="16"/>
      <c r="AM47" s="16">
        <f>462334.19+2012398.07</f>
        <v>2474732.2600000002</v>
      </c>
      <c r="AN47" s="16"/>
      <c r="AO47" s="16"/>
      <c r="AP47" s="16"/>
      <c r="AQ47" s="24"/>
      <c r="AR47" s="24"/>
    </row>
    <row r="48" spans="1:44" x14ac:dyDescent="0.25">
      <c r="A48" s="109" t="s">
        <v>10</v>
      </c>
      <c r="B48" s="110"/>
      <c r="C48" s="2"/>
      <c r="D48" s="2"/>
      <c r="E48" s="2">
        <v>10156548.25</v>
      </c>
      <c r="F48" s="2">
        <v>8858996.9299999997</v>
      </c>
      <c r="G48" s="2">
        <f>317.3+10868571.22</f>
        <v>10868888.520000001</v>
      </c>
      <c r="H48" s="2">
        <f>10199734.22+317.3</f>
        <v>10200051.520000001</v>
      </c>
      <c r="I48" s="2">
        <f>317.3+9400193.22</f>
        <v>9400510.5200000014</v>
      </c>
      <c r="J48" s="2">
        <f>317.3+8729105.22</f>
        <v>8729422.5200000014</v>
      </c>
      <c r="K48" s="2">
        <f>317.3+8959341.22</f>
        <v>8959658.5200000014</v>
      </c>
      <c r="L48" s="2">
        <f>317.3+8959341.22</f>
        <v>8959658.5200000014</v>
      </c>
      <c r="M48" s="2">
        <v>9641398.0299999993</v>
      </c>
      <c r="N48" s="2">
        <v>9641398.0299999993</v>
      </c>
      <c r="O48" s="2">
        <f>9367894.06</f>
        <v>9367894.0600000005</v>
      </c>
      <c r="P48" s="2">
        <f>9367894.06</f>
        <v>9367894.0600000005</v>
      </c>
      <c r="Q48" s="2">
        <f>9367894.06</f>
        <v>9367894.0600000005</v>
      </c>
      <c r="R48" s="2">
        <v>9865070.0600000005</v>
      </c>
      <c r="S48" s="2">
        <v>10331413.810000001</v>
      </c>
      <c r="T48" s="2">
        <v>10331413.810000001</v>
      </c>
      <c r="U48" s="2">
        <v>9319334.8100000005</v>
      </c>
      <c r="V48" s="2">
        <v>9319334.8100000005</v>
      </c>
      <c r="W48" s="2">
        <f>9337671.09</f>
        <v>9337671.0899999999</v>
      </c>
      <c r="X48" s="2">
        <v>9337671.0899999999</v>
      </c>
      <c r="Y48" s="2">
        <v>11178667.26</v>
      </c>
      <c r="Z48" s="2">
        <v>10089361.619999999</v>
      </c>
      <c r="AA48" s="16">
        <f>41557.97+1353152.71</f>
        <v>1394710.68</v>
      </c>
      <c r="AB48" s="16"/>
      <c r="AC48" s="16">
        <f>79834.83+2444326.98</f>
        <v>2524161.81</v>
      </c>
      <c r="AD48" s="16">
        <v>1451371.96</v>
      </c>
      <c r="AE48" s="23">
        <f>15039+567180.92</f>
        <v>582219.92000000004</v>
      </c>
      <c r="AF48" s="13"/>
      <c r="AG48" s="23">
        <f>15039+562240</f>
        <v>577279</v>
      </c>
      <c r="AH48" s="13"/>
      <c r="AI48" s="16">
        <v>497002</v>
      </c>
      <c r="AJ48" s="16"/>
      <c r="AK48" s="16">
        <v>495074</v>
      </c>
      <c r="AL48" s="16"/>
      <c r="AM48" s="16">
        <v>757083</v>
      </c>
      <c r="AN48" s="16"/>
      <c r="AO48" s="16">
        <v>757083</v>
      </c>
      <c r="AP48" s="16"/>
      <c r="AQ48" s="24"/>
      <c r="AR48" s="24"/>
    </row>
    <row r="49" spans="1:44" x14ac:dyDescent="0.25">
      <c r="A49" s="109" t="s">
        <v>16</v>
      </c>
      <c r="B49" s="1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31333.33</v>
      </c>
      <c r="P49" s="2"/>
      <c r="Q49" s="2">
        <v>31999.99</v>
      </c>
      <c r="R49" s="2"/>
      <c r="S49" s="2"/>
      <c r="T49" s="2"/>
      <c r="U49" s="2"/>
      <c r="V49" s="2"/>
      <c r="W49" s="2"/>
      <c r="X49" s="2"/>
      <c r="Y49" s="2">
        <v>134475.21</v>
      </c>
      <c r="Z49" s="2">
        <v>134475.21</v>
      </c>
      <c r="AA49" s="16">
        <v>747720.56</v>
      </c>
      <c r="AB49" s="16">
        <v>747720.56</v>
      </c>
      <c r="AC49" s="16">
        <v>1581975.05</v>
      </c>
      <c r="AD49" s="16">
        <v>1581975.05</v>
      </c>
      <c r="AE49" s="23">
        <v>4976546.17</v>
      </c>
      <c r="AF49" s="13"/>
      <c r="AG49" s="23">
        <v>4976546.17</v>
      </c>
      <c r="AH49" s="13"/>
      <c r="AI49" s="16">
        <v>1823168.82</v>
      </c>
      <c r="AJ49" s="16"/>
      <c r="AK49" s="16">
        <v>1823168.82</v>
      </c>
      <c r="AL49" s="16"/>
      <c r="AM49" s="16"/>
      <c r="AN49" s="16"/>
      <c r="AO49" s="16"/>
      <c r="AP49" s="16"/>
      <c r="AQ49" s="24"/>
      <c r="AR49" s="24"/>
    </row>
    <row r="50" spans="1:44" hidden="1" x14ac:dyDescent="0.25">
      <c r="A50" s="111" t="s">
        <v>4</v>
      </c>
      <c r="B50" s="112"/>
      <c r="C50" s="115">
        <v>654159.29</v>
      </c>
      <c r="D50" s="115">
        <f>SUM(D52:D56)</f>
        <v>0</v>
      </c>
      <c r="E50" s="115">
        <f t="shared" ref="E50:Z50" si="11">SUM(E52:E56)</f>
        <v>159427.71</v>
      </c>
      <c r="F50" s="115">
        <f t="shared" si="11"/>
        <v>156150</v>
      </c>
      <c r="G50" s="115">
        <f t="shared" si="11"/>
        <v>166323.26</v>
      </c>
      <c r="H50" s="115">
        <f t="shared" si="11"/>
        <v>156150</v>
      </c>
      <c r="I50" s="115">
        <f t="shared" si="11"/>
        <v>158187.54</v>
      </c>
      <c r="J50" s="115">
        <f t="shared" si="11"/>
        <v>156150</v>
      </c>
      <c r="K50" s="115">
        <f t="shared" si="11"/>
        <v>157389.10999999999</v>
      </c>
      <c r="L50" s="115">
        <f t="shared" si="11"/>
        <v>156150</v>
      </c>
      <c r="M50" s="115">
        <f t="shared" si="11"/>
        <v>162310.56</v>
      </c>
      <c r="N50" s="115">
        <f t="shared" si="11"/>
        <v>156150</v>
      </c>
      <c r="O50" s="115">
        <f t="shared" si="11"/>
        <v>158206.72</v>
      </c>
      <c r="P50" s="115">
        <f t="shared" si="11"/>
        <v>156150</v>
      </c>
      <c r="Q50" s="115">
        <f t="shared" si="11"/>
        <v>162910.32999999999</v>
      </c>
      <c r="R50" s="115">
        <f t="shared" si="11"/>
        <v>156150</v>
      </c>
      <c r="S50" s="115">
        <f t="shared" si="11"/>
        <v>159608.60999999999</v>
      </c>
      <c r="T50" s="115">
        <f t="shared" si="11"/>
        <v>156150</v>
      </c>
      <c r="U50" s="115">
        <f t="shared" si="11"/>
        <v>157986.35</v>
      </c>
      <c r="V50" s="115">
        <f t="shared" si="11"/>
        <v>156150</v>
      </c>
      <c r="W50" s="115">
        <f t="shared" si="11"/>
        <v>159926.9</v>
      </c>
      <c r="X50" s="115">
        <f t="shared" si="11"/>
        <v>156150</v>
      </c>
      <c r="Y50" s="115">
        <f t="shared" si="11"/>
        <v>0</v>
      </c>
      <c r="Z50" s="115">
        <f t="shared" si="11"/>
        <v>0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129">
        <f>Y50/E50-1</f>
        <v>-1</v>
      </c>
      <c r="AR50" s="129">
        <f>Z50/F50-1</f>
        <v>-1</v>
      </c>
    </row>
    <row r="51" spans="1:44" hidden="1" x14ac:dyDescent="0.25">
      <c r="A51" s="113"/>
      <c r="B51" s="11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130"/>
      <c r="AR51" s="130"/>
    </row>
    <row r="52" spans="1:44" hidden="1" x14ac:dyDescent="0.25">
      <c r="A52" s="109" t="s">
        <v>11</v>
      </c>
      <c r="B52" s="110"/>
      <c r="C52" s="2"/>
      <c r="D52" s="2"/>
      <c r="E52" s="2">
        <v>2936.71</v>
      </c>
      <c r="F52" s="2"/>
      <c r="G52" s="2">
        <v>10173.26</v>
      </c>
      <c r="H52" s="2"/>
      <c r="I52" s="2">
        <v>2037.54</v>
      </c>
      <c r="J52" s="2"/>
      <c r="K52" s="2">
        <v>1239.1099999999999</v>
      </c>
      <c r="L52" s="2"/>
      <c r="M52" s="2">
        <v>6160.56</v>
      </c>
      <c r="N52" s="2"/>
      <c r="O52" s="2">
        <v>2056.7199999999998</v>
      </c>
      <c r="P52" s="2"/>
      <c r="Q52" s="2">
        <v>4968.33</v>
      </c>
      <c r="R52" s="2"/>
      <c r="S52" s="2">
        <v>3458.61</v>
      </c>
      <c r="T52" s="2"/>
      <c r="U52" s="2">
        <v>1836.35</v>
      </c>
      <c r="V52" s="2"/>
      <c r="W52" s="2">
        <v>3776.9</v>
      </c>
      <c r="X52" s="2"/>
      <c r="Y52" s="2"/>
      <c r="Z52" s="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31"/>
      <c r="AR52" s="31"/>
    </row>
    <row r="53" spans="1:44" hidden="1" x14ac:dyDescent="0.25">
      <c r="A53" s="109" t="s">
        <v>8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31"/>
      <c r="AR53" s="31"/>
    </row>
    <row r="54" spans="1:44" hidden="1" x14ac:dyDescent="0.25">
      <c r="A54" s="109" t="s">
        <v>9</v>
      </c>
      <c r="B54" s="110"/>
      <c r="C54" s="2"/>
      <c r="D54" s="2"/>
      <c r="E54" s="2">
        <v>-10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31"/>
      <c r="AR54" s="31"/>
    </row>
    <row r="55" spans="1:44" hidden="1" x14ac:dyDescent="0.25">
      <c r="A55" s="109" t="s">
        <v>10</v>
      </c>
      <c r="B55" s="110"/>
      <c r="C55" s="2"/>
      <c r="D55" s="2"/>
      <c r="E55" s="2">
        <v>351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1792</v>
      </c>
      <c r="R55" s="2"/>
      <c r="S55" s="2"/>
      <c r="T55" s="2"/>
      <c r="U55" s="2"/>
      <c r="V55" s="2"/>
      <c r="W55" s="2"/>
      <c r="X55" s="2"/>
      <c r="Y55" s="2"/>
      <c r="Z55" s="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1"/>
      <c r="AR55" s="31"/>
    </row>
    <row r="56" spans="1:44" hidden="1" x14ac:dyDescent="0.25">
      <c r="A56" s="109" t="s">
        <v>16</v>
      </c>
      <c r="B56" s="110"/>
      <c r="C56" s="2"/>
      <c r="D56" s="2"/>
      <c r="E56" s="2">
        <v>156150</v>
      </c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0</v>
      </c>
      <c r="Z56" s="2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1"/>
      <c r="AR56" s="31"/>
    </row>
    <row r="57" spans="1:44" x14ac:dyDescent="0.25">
      <c r="A57" s="111" t="s">
        <v>18</v>
      </c>
      <c r="B57" s="112"/>
      <c r="C57" s="107">
        <v>10829169.880000001</v>
      </c>
      <c r="D57" s="107">
        <f>1640975.89+2975186.97+988391.8</f>
        <v>5604554.6600000001</v>
      </c>
      <c r="E57" s="107">
        <f>SUM(E59:E63)</f>
        <v>6197764.7700000005</v>
      </c>
      <c r="F57" s="107">
        <f>SUM(F59:F63)</f>
        <v>3749667.49</v>
      </c>
      <c r="G57" s="107">
        <f t="shared" ref="G57:AD57" si="12">SUM(G59:G63)</f>
        <v>6852948.2799999993</v>
      </c>
      <c r="H57" s="107">
        <f t="shared" si="12"/>
        <v>3749667.49</v>
      </c>
      <c r="I57" s="107">
        <f t="shared" si="12"/>
        <v>5929212.6499999994</v>
      </c>
      <c r="J57" s="107">
        <f t="shared" si="12"/>
        <v>2974471.0500000003</v>
      </c>
      <c r="K57" s="107">
        <f t="shared" si="12"/>
        <v>7559967.5599999996</v>
      </c>
      <c r="L57" s="107">
        <f t="shared" si="12"/>
        <v>2974471.0500000003</v>
      </c>
      <c r="M57" s="107">
        <f t="shared" si="12"/>
        <v>6930316.6799999997</v>
      </c>
      <c r="N57" s="107">
        <f t="shared" si="12"/>
        <v>4894294.6399999997</v>
      </c>
      <c r="O57" s="107">
        <f t="shared" si="12"/>
        <v>7219255.4799999995</v>
      </c>
      <c r="P57" s="107">
        <f t="shared" si="12"/>
        <v>4894294.6399999997</v>
      </c>
      <c r="Q57" s="107">
        <f t="shared" si="12"/>
        <v>9600917.8499999996</v>
      </c>
      <c r="R57" s="107">
        <f t="shared" si="12"/>
        <v>4651292.82</v>
      </c>
      <c r="S57" s="107">
        <f t="shared" si="12"/>
        <v>8525632.5199999996</v>
      </c>
      <c r="T57" s="107">
        <f t="shared" si="12"/>
        <v>4005766.16</v>
      </c>
      <c r="U57" s="107">
        <f t="shared" si="12"/>
        <v>10599393.380000001</v>
      </c>
      <c r="V57" s="107">
        <f t="shared" si="12"/>
        <v>1496363.55</v>
      </c>
      <c r="W57" s="107">
        <f t="shared" si="12"/>
        <v>20377243.73</v>
      </c>
      <c r="X57" s="107">
        <f t="shared" si="12"/>
        <v>1496363.55</v>
      </c>
      <c r="Y57" s="107">
        <f t="shared" si="12"/>
        <v>20412653.610000003</v>
      </c>
      <c r="Z57" s="107">
        <f t="shared" si="12"/>
        <v>13308419.82</v>
      </c>
      <c r="AA57" s="124">
        <f t="shared" si="12"/>
        <v>54055934.440000005</v>
      </c>
      <c r="AB57" s="124">
        <f t="shared" si="12"/>
        <v>17697811.539999999</v>
      </c>
      <c r="AC57" s="124">
        <f t="shared" si="12"/>
        <v>61418098.109999999</v>
      </c>
      <c r="AD57" s="124">
        <f t="shared" si="12"/>
        <v>39172056.890000001</v>
      </c>
      <c r="AE57" s="118">
        <f>AE59+AE60+AE61+AE62+AE63</f>
        <v>12238071.009999998</v>
      </c>
      <c r="AF57" s="118">
        <f>AF59+AF60+AF61+AF62+AF63</f>
        <v>4454905.63</v>
      </c>
      <c r="AG57" s="118">
        <f>AG59+AG60+AG61+AG62+AG63</f>
        <v>401041.57</v>
      </c>
      <c r="AH57" s="118">
        <f>AH59+AH60+AH61+AH62+AH63</f>
        <v>0</v>
      </c>
      <c r="AI57" s="120">
        <f>AI59+AI60+AI61+AI62+AI63</f>
        <v>75253.62</v>
      </c>
      <c r="AJ57" s="120">
        <v>0</v>
      </c>
      <c r="AK57" s="120">
        <v>0</v>
      </c>
      <c r="AL57" s="120">
        <v>0</v>
      </c>
      <c r="AM57" s="120">
        <f>AM59+AM60+AM61+AM62+AM63</f>
        <v>0</v>
      </c>
      <c r="AN57" s="120">
        <f>AN59+AN60+AN61+AN62+AN63</f>
        <v>0</v>
      </c>
      <c r="AO57" s="120">
        <f>AO59+AO60+AO61+AO62+AO63</f>
        <v>0</v>
      </c>
      <c r="AP57" s="120">
        <f>AP59+AP60+AP61+AP62+AP63</f>
        <v>0</v>
      </c>
      <c r="AQ57" s="116">
        <f>AM57/AI57-1</f>
        <v>-1</v>
      </c>
      <c r="AR57" s="116" t="e">
        <f>AO57/AK57-1</f>
        <v>#DIV/0!</v>
      </c>
    </row>
    <row r="58" spans="1:44" x14ac:dyDescent="0.25">
      <c r="A58" s="113"/>
      <c r="B58" s="11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5"/>
      <c r="AB58" s="125"/>
      <c r="AC58" s="125"/>
      <c r="AD58" s="125"/>
      <c r="AE58" s="119"/>
      <c r="AF58" s="119"/>
      <c r="AG58" s="119"/>
      <c r="AH58" s="119"/>
      <c r="AI58" s="121"/>
      <c r="AJ58" s="121"/>
      <c r="AK58" s="121"/>
      <c r="AL58" s="121"/>
      <c r="AM58" s="121"/>
      <c r="AN58" s="121"/>
      <c r="AO58" s="121"/>
      <c r="AP58" s="121"/>
      <c r="AQ58" s="117"/>
      <c r="AR58" s="117"/>
    </row>
    <row r="59" spans="1:44" x14ac:dyDescent="0.25">
      <c r="A59" s="109" t="s">
        <v>11</v>
      </c>
      <c r="B59" s="110"/>
      <c r="C59" s="1"/>
      <c r="D59" s="1"/>
      <c r="E59" s="1">
        <v>6195284.0800000001</v>
      </c>
      <c r="F59" s="1">
        <f>3363056.56+386610.93</f>
        <v>3749667.49</v>
      </c>
      <c r="G59" s="1">
        <f>2263909.36+4559378.25</f>
        <v>6823287.6099999994</v>
      </c>
      <c r="H59" s="1">
        <f>386610.93+3363056.56</f>
        <v>3749667.49</v>
      </c>
      <c r="I59" s="1">
        <f>1799893.76+4099496.79</f>
        <v>5899390.5499999998</v>
      </c>
      <c r="J59" s="1">
        <f>386610.93+2587860.12</f>
        <v>2974471.0500000003</v>
      </c>
      <c r="K59" s="1">
        <f>5416106.16+2141154.26+1386.18+1320.96</f>
        <v>7559967.5599999996</v>
      </c>
      <c r="L59" s="1">
        <f>2587860.12+386610.93</f>
        <v>2974471.0500000003</v>
      </c>
      <c r="M59" s="1">
        <v>6930316.6799999997</v>
      </c>
      <c r="N59" s="1">
        <v>4894294.6399999997</v>
      </c>
      <c r="O59" s="1">
        <f>1865798.47+5348998.75</f>
        <v>7214797.2199999997</v>
      </c>
      <c r="P59" s="1">
        <f>386610.93+4507683.71</f>
        <v>4894294.6399999997</v>
      </c>
      <c r="Q59" s="1">
        <v>9600917.8499999996</v>
      </c>
      <c r="R59" s="1">
        <v>4651292.82</v>
      </c>
      <c r="S59" s="1">
        <f>2951333.92+5555295.68+15251.76+3751.16</f>
        <v>8525632.5199999996</v>
      </c>
      <c r="T59" s="1">
        <f>3619155.23+386610.93</f>
        <v>4005766.16</v>
      </c>
      <c r="U59" s="1">
        <f>1992205.58+8591549.02+5323.15+10315.63</f>
        <v>10599393.380000001</v>
      </c>
      <c r="V59" s="1">
        <f>1109752.62+386610.93</f>
        <v>1496363.55</v>
      </c>
      <c r="W59" s="1">
        <f>10545735.23+9823125.67+3422.46+4960.37</f>
        <v>20377243.73</v>
      </c>
      <c r="X59" s="1">
        <f>386610.93+1109752.62</f>
        <v>1496363.55</v>
      </c>
      <c r="Y59" s="1">
        <v>20441640.960000001</v>
      </c>
      <c r="Z59" s="1">
        <v>13308419.82</v>
      </c>
      <c r="AA59" s="19">
        <f>33166250.55+116.03+20185020.65+10333.24-153588.27</f>
        <v>53208132.200000003</v>
      </c>
      <c r="AB59" s="19">
        <f>17535000.48+162811.06-153588.27</f>
        <v>17544223.27</v>
      </c>
      <c r="AC59" s="19">
        <f>44014737.97+19482.3+16465957.71</f>
        <v>60500177.979999997</v>
      </c>
      <c r="AD59" s="19">
        <f>29503554.98+9668501.91</f>
        <v>39172056.890000001</v>
      </c>
      <c r="AE59" s="28">
        <v>11770839.189999999</v>
      </c>
      <c r="AF59" s="28">
        <v>4454905.63</v>
      </c>
      <c r="AG59" s="28">
        <v>401041.57</v>
      </c>
      <c r="AH59" s="12"/>
      <c r="AI59" s="19">
        <v>75253.62</v>
      </c>
      <c r="AJ59" s="19">
        <v>0</v>
      </c>
      <c r="AK59" s="19">
        <v>0</v>
      </c>
      <c r="AL59" s="19"/>
      <c r="AM59" s="19"/>
      <c r="AN59" s="19"/>
      <c r="AO59" s="19"/>
      <c r="AP59" s="19"/>
      <c r="AQ59" s="34"/>
      <c r="AR59" s="34"/>
    </row>
    <row r="60" spans="1:44" x14ac:dyDescent="0.25">
      <c r="A60" s="109" t="s">
        <v>8</v>
      </c>
      <c r="B60" s="1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9">
        <f>174701.03+239873.77</f>
        <v>414574.8</v>
      </c>
      <c r="AB60" s="19"/>
      <c r="AC60" s="19">
        <f>340113.75+6309.58+298211.41</f>
        <v>644634.74</v>
      </c>
      <c r="AD60" s="19"/>
      <c r="AE60" s="28">
        <f>180975.63+90797+9669.95</f>
        <v>281442.58</v>
      </c>
      <c r="AF60" s="12"/>
      <c r="AG60" s="12"/>
      <c r="AH60" s="12"/>
      <c r="AI60" s="19"/>
      <c r="AJ60" s="19"/>
      <c r="AK60" s="19"/>
      <c r="AL60" s="19"/>
      <c r="AM60" s="19"/>
      <c r="AN60" s="19"/>
      <c r="AO60" s="19"/>
      <c r="AP60" s="19"/>
      <c r="AQ60" s="34"/>
      <c r="AR60" s="34"/>
    </row>
    <row r="61" spans="1:44" x14ac:dyDescent="0.25">
      <c r="A61" s="109" t="s">
        <v>9</v>
      </c>
      <c r="B61" s="110"/>
      <c r="C61" s="1"/>
      <c r="D61" s="1"/>
      <c r="E61" s="1"/>
      <c r="F61" s="1"/>
      <c r="G61" s="1">
        <v>-0.01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9">
        <v>150004.17000000001</v>
      </c>
      <c r="AB61" s="19"/>
      <c r="AC61" s="19">
        <f>218911.42+53273.97</f>
        <v>272185.39</v>
      </c>
      <c r="AD61" s="19"/>
      <c r="AE61" s="28">
        <v>185472.7</v>
      </c>
      <c r="AF61" s="12"/>
      <c r="AG61" s="12"/>
      <c r="AH61" s="12"/>
      <c r="AI61" s="19"/>
      <c r="AJ61" s="19"/>
      <c r="AK61" s="19"/>
      <c r="AL61" s="19"/>
      <c r="AM61" s="19"/>
      <c r="AN61" s="19"/>
      <c r="AO61" s="19"/>
      <c r="AP61" s="19"/>
      <c r="AQ61" s="34"/>
      <c r="AR61" s="34"/>
    </row>
    <row r="62" spans="1:44" x14ac:dyDescent="0.25">
      <c r="A62" s="109" t="s">
        <v>10</v>
      </c>
      <c r="B62" s="110"/>
      <c r="C62" s="1"/>
      <c r="D62" s="1"/>
      <c r="E62" s="1"/>
      <c r="F62" s="1"/>
      <c r="G62" s="1">
        <v>-67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-94199.79</v>
      </c>
      <c r="Z62" s="1"/>
      <c r="AA62" s="19">
        <f>129635</f>
        <v>129635</v>
      </c>
      <c r="AB62" s="19"/>
      <c r="AC62" s="19"/>
      <c r="AD62" s="19"/>
      <c r="AE62" s="28"/>
      <c r="AF62" s="12"/>
      <c r="AG62" s="12"/>
      <c r="AH62" s="12"/>
      <c r="AI62" s="19"/>
      <c r="AJ62" s="19"/>
      <c r="AK62" s="19"/>
      <c r="AL62" s="19"/>
      <c r="AM62" s="19"/>
      <c r="AN62" s="19"/>
      <c r="AO62" s="19"/>
      <c r="AP62" s="19"/>
      <c r="AQ62" s="34"/>
      <c r="AR62" s="34"/>
    </row>
    <row r="63" spans="1:44" x14ac:dyDescent="0.25">
      <c r="A63" s="109" t="s">
        <v>16</v>
      </c>
      <c r="B63" s="110"/>
      <c r="C63" s="1"/>
      <c r="D63" s="1"/>
      <c r="E63" s="1">
        <v>2480.69</v>
      </c>
      <c r="F63" s="1"/>
      <c r="G63" s="1">
        <f>10138.57+19589.11</f>
        <v>29727.68</v>
      </c>
      <c r="H63" s="1"/>
      <c r="I63" s="1">
        <f>14183.88+15638.22</f>
        <v>29822.1</v>
      </c>
      <c r="J63" s="1"/>
      <c r="K63" s="1"/>
      <c r="L63" s="1"/>
      <c r="M63" s="1"/>
      <c r="N63" s="1"/>
      <c r="O63" s="1">
        <v>4458.26</v>
      </c>
      <c r="P63" s="1"/>
      <c r="Q63" s="1"/>
      <c r="R63" s="1"/>
      <c r="S63" s="1"/>
      <c r="T63" s="1"/>
      <c r="U63" s="1"/>
      <c r="V63" s="1"/>
      <c r="W63" s="1"/>
      <c r="X63" s="1"/>
      <c r="Y63" s="1">
        <v>65212.44</v>
      </c>
      <c r="Z63" s="1"/>
      <c r="AA63" s="19">
        <v>153588.26999999999</v>
      </c>
      <c r="AB63" s="19">
        <v>153588.26999999999</v>
      </c>
      <c r="AC63" s="19">
        <v>1100</v>
      </c>
      <c r="AD63" s="19"/>
      <c r="AE63" s="28">
        <v>316.54000000000002</v>
      </c>
      <c r="AF63" s="12"/>
      <c r="AG63" s="12"/>
      <c r="AH63" s="12"/>
      <c r="AI63" s="19"/>
      <c r="AJ63" s="19"/>
      <c r="AK63" s="19"/>
      <c r="AL63" s="19"/>
      <c r="AM63" s="19"/>
      <c r="AN63" s="19"/>
      <c r="AO63" s="19"/>
      <c r="AP63" s="19"/>
      <c r="AQ63" s="34"/>
      <c r="AR63" s="34"/>
    </row>
    <row r="64" spans="1:44" x14ac:dyDescent="0.25">
      <c r="A64" s="111" t="s">
        <v>15</v>
      </c>
      <c r="B64" s="112"/>
      <c r="C64" s="115">
        <v>-1470.89</v>
      </c>
      <c r="D64" s="115">
        <f>SUM(D66:D70)</f>
        <v>0</v>
      </c>
      <c r="E64" s="115">
        <f t="shared" ref="E64:AB64" si="13">SUM(E66:E70)</f>
        <v>741.25</v>
      </c>
      <c r="F64" s="115">
        <f t="shared" si="13"/>
        <v>0</v>
      </c>
      <c r="G64" s="115">
        <f t="shared" si="13"/>
        <v>0</v>
      </c>
      <c r="H64" s="115">
        <f t="shared" si="13"/>
        <v>0</v>
      </c>
      <c r="I64" s="115">
        <f t="shared" si="13"/>
        <v>0</v>
      </c>
      <c r="J64" s="115">
        <f t="shared" si="13"/>
        <v>0</v>
      </c>
      <c r="K64" s="115">
        <f t="shared" si="13"/>
        <v>0</v>
      </c>
      <c r="L64" s="115">
        <f t="shared" si="13"/>
        <v>0</v>
      </c>
      <c r="M64" s="115">
        <f t="shared" si="13"/>
        <v>0</v>
      </c>
      <c r="N64" s="115">
        <f t="shared" si="13"/>
        <v>0</v>
      </c>
      <c r="O64" s="115">
        <f t="shared" si="13"/>
        <v>0</v>
      </c>
      <c r="P64" s="115">
        <f t="shared" si="13"/>
        <v>0</v>
      </c>
      <c r="Q64" s="115">
        <f t="shared" si="13"/>
        <v>0</v>
      </c>
      <c r="R64" s="115">
        <f t="shared" si="13"/>
        <v>0</v>
      </c>
      <c r="S64" s="115">
        <f t="shared" si="13"/>
        <v>0</v>
      </c>
      <c r="T64" s="115">
        <f t="shared" si="13"/>
        <v>0</v>
      </c>
      <c r="U64" s="115">
        <f t="shared" si="13"/>
        <v>0</v>
      </c>
      <c r="V64" s="115">
        <f t="shared" si="13"/>
        <v>0</v>
      </c>
      <c r="W64" s="115">
        <f t="shared" si="13"/>
        <v>0</v>
      </c>
      <c r="X64" s="115">
        <f t="shared" si="13"/>
        <v>0</v>
      </c>
      <c r="Y64" s="115">
        <f t="shared" si="13"/>
        <v>0</v>
      </c>
      <c r="Z64" s="115">
        <f t="shared" si="13"/>
        <v>0</v>
      </c>
      <c r="AA64" s="128">
        <f>AA66+AA67+AA68+AA69+AA70</f>
        <v>84248.31</v>
      </c>
      <c r="AB64" s="128">
        <f t="shared" si="13"/>
        <v>0</v>
      </c>
      <c r="AC64" s="128">
        <f>SUM(AC66:AC70)</f>
        <v>130082.92000000001</v>
      </c>
      <c r="AD64" s="128">
        <f>SUM(AD66:AD70)</f>
        <v>0</v>
      </c>
      <c r="AE64" s="126">
        <f t="shared" ref="AE64:AL64" si="14">AE66+AE67+AE68+AE69+AE70</f>
        <v>122664.07</v>
      </c>
      <c r="AF64" s="126">
        <f t="shared" si="14"/>
        <v>0</v>
      </c>
      <c r="AG64" s="126">
        <f t="shared" si="14"/>
        <v>0</v>
      </c>
      <c r="AH64" s="126">
        <f t="shared" si="14"/>
        <v>0</v>
      </c>
      <c r="AI64" s="122">
        <f t="shared" si="14"/>
        <v>45365.68</v>
      </c>
      <c r="AJ64" s="122">
        <f t="shared" si="14"/>
        <v>0</v>
      </c>
      <c r="AK64" s="122">
        <v>0</v>
      </c>
      <c r="AL64" s="122">
        <f t="shared" si="14"/>
        <v>0</v>
      </c>
      <c r="AM64" s="122">
        <f>AM66+AM67+AM68+AM69+AM70</f>
        <v>56386.17</v>
      </c>
      <c r="AN64" s="122">
        <f>AN66+AN67+AN68+AN69+AN70</f>
        <v>0</v>
      </c>
      <c r="AO64" s="122">
        <f>AO66+AO67+AO68+AO69+AO70</f>
        <v>0</v>
      </c>
      <c r="AP64" s="122">
        <f>AP66+AP67+AP68+AP69+AP70</f>
        <v>0</v>
      </c>
      <c r="AQ64" s="116">
        <f>AM64/AI64-1</f>
        <v>0.24292570947906</v>
      </c>
      <c r="AR64" s="116" t="e">
        <f>AO64/AK64-1</f>
        <v>#DIV/0!</v>
      </c>
    </row>
    <row r="65" spans="1:44" x14ac:dyDescent="0.25">
      <c r="A65" s="113"/>
      <c r="B65" s="11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25"/>
      <c r="AB65" s="125"/>
      <c r="AC65" s="131"/>
      <c r="AD65" s="125"/>
      <c r="AE65" s="127"/>
      <c r="AF65" s="127"/>
      <c r="AG65" s="127"/>
      <c r="AH65" s="127"/>
      <c r="AI65" s="123"/>
      <c r="AJ65" s="123"/>
      <c r="AK65" s="123"/>
      <c r="AL65" s="123"/>
      <c r="AM65" s="123"/>
      <c r="AN65" s="123"/>
      <c r="AO65" s="123"/>
      <c r="AP65" s="123"/>
      <c r="AQ65" s="117"/>
      <c r="AR65" s="117"/>
    </row>
    <row r="66" spans="1:44" ht="30" customHeight="1" x14ac:dyDescent="0.25">
      <c r="A66" s="109" t="s">
        <v>11</v>
      </c>
      <c r="B66" s="110"/>
      <c r="C66" s="2"/>
      <c r="D66" s="2"/>
      <c r="E66" s="2">
        <v>741.25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6"/>
      <c r="AB66" s="16"/>
      <c r="AC66" s="16">
        <v>5034.4399999999996</v>
      </c>
      <c r="AD66" s="13"/>
      <c r="AE66" s="23">
        <v>354.61</v>
      </c>
      <c r="AF66" s="23"/>
      <c r="AG66" s="23"/>
      <c r="AH66" s="23"/>
      <c r="AI66" s="16"/>
      <c r="AJ66" s="16"/>
      <c r="AK66" s="16"/>
      <c r="AL66" s="16"/>
      <c r="AM66" s="16"/>
      <c r="AN66" s="16"/>
      <c r="AO66" s="16"/>
      <c r="AP66" s="16"/>
      <c r="AQ66" s="24"/>
      <c r="AR66" s="24"/>
    </row>
    <row r="67" spans="1:44" x14ac:dyDescent="0.25">
      <c r="A67" s="109" t="s">
        <v>8</v>
      </c>
      <c r="B67" s="110"/>
      <c r="C67" s="2"/>
      <c r="D67" s="2"/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">
        <v>53091.66</v>
      </c>
      <c r="AB67" s="16"/>
      <c r="AC67" s="16">
        <v>81730</v>
      </c>
      <c r="AD67" s="13"/>
      <c r="AE67" s="23">
        <v>82376</v>
      </c>
      <c r="AF67" s="23"/>
      <c r="AG67" s="23"/>
      <c r="AH67" s="23"/>
      <c r="AI67" s="16">
        <v>28290.47</v>
      </c>
      <c r="AJ67" s="16"/>
      <c r="AK67" s="16"/>
      <c r="AL67" s="16"/>
      <c r="AM67" s="16">
        <v>36812.720000000001</v>
      </c>
      <c r="AN67" s="16"/>
      <c r="AO67" s="16"/>
      <c r="AP67" s="16"/>
      <c r="AQ67" s="24"/>
      <c r="AR67" s="24"/>
    </row>
    <row r="68" spans="1:44" x14ac:dyDescent="0.25">
      <c r="A68" s="109" t="s">
        <v>9</v>
      </c>
      <c r="B68" s="110"/>
      <c r="C68" s="2"/>
      <c r="D68" s="2"/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31156.65</v>
      </c>
      <c r="AB68" s="16"/>
      <c r="AC68" s="16">
        <v>43318.48</v>
      </c>
      <c r="AD68" s="13"/>
      <c r="AE68" s="23">
        <v>39933.46</v>
      </c>
      <c r="AF68" s="23"/>
      <c r="AG68" s="23"/>
      <c r="AH68" s="23"/>
      <c r="AI68" s="16"/>
      <c r="AJ68" s="16"/>
      <c r="AK68" s="16"/>
      <c r="AL68" s="16"/>
      <c r="AM68" s="16"/>
      <c r="AN68" s="16"/>
      <c r="AO68" s="16"/>
      <c r="AP68" s="16"/>
      <c r="AQ68" s="24"/>
      <c r="AR68" s="24"/>
    </row>
    <row r="69" spans="1:44" x14ac:dyDescent="0.25">
      <c r="A69" s="109" t="s">
        <v>10</v>
      </c>
      <c r="B69" s="1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3"/>
      <c r="AD69" s="13"/>
      <c r="AE69" s="13"/>
      <c r="AF69" s="13"/>
      <c r="AG69" s="13"/>
      <c r="AH69" s="13"/>
      <c r="AI69" s="16">
        <v>17075.21</v>
      </c>
      <c r="AJ69" s="16"/>
      <c r="AK69" s="16"/>
      <c r="AL69" s="16"/>
      <c r="AM69" s="16">
        <v>19573.45</v>
      </c>
      <c r="AN69" s="16"/>
      <c r="AO69" s="16"/>
      <c r="AP69" s="16"/>
      <c r="AQ69" s="24"/>
      <c r="AR69" s="24"/>
    </row>
    <row r="70" spans="1:44" ht="14.25" customHeight="1" x14ac:dyDescent="0.25">
      <c r="A70" s="109" t="s">
        <v>16</v>
      </c>
      <c r="B70" s="1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t="60" hidden="1" x14ac:dyDescent="0.25">
      <c r="A71" s="7" t="s">
        <v>25</v>
      </c>
      <c r="B71" s="7"/>
      <c r="C71" s="9">
        <v>3090165.46</v>
      </c>
      <c r="D71" s="9">
        <v>3090165.46</v>
      </c>
      <c r="E71" s="9">
        <f>SUM(E72:E74)</f>
        <v>0</v>
      </c>
      <c r="F71" s="9">
        <f>SUM(F72:F74)</f>
        <v>0</v>
      </c>
      <c r="G71" s="9">
        <f t="shared" ref="G71:Z71" si="15">SUM(G72:G74)</f>
        <v>0</v>
      </c>
      <c r="H71" s="9">
        <f t="shared" si="15"/>
        <v>0</v>
      </c>
      <c r="I71" s="9">
        <f t="shared" si="15"/>
        <v>0</v>
      </c>
      <c r="J71" s="9">
        <f t="shared" si="15"/>
        <v>0</v>
      </c>
      <c r="K71" s="9">
        <f t="shared" si="15"/>
        <v>0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t="shared" si="15"/>
        <v>0</v>
      </c>
      <c r="V71" s="9">
        <f t="shared" si="15"/>
        <v>0</v>
      </c>
      <c r="W71" s="9">
        <f t="shared" si="15"/>
        <v>0</v>
      </c>
      <c r="X71" s="9">
        <f t="shared" si="15"/>
        <v>0</v>
      </c>
      <c r="Y71" s="9">
        <f t="shared" si="15"/>
        <v>0</v>
      </c>
      <c r="Z71" s="9">
        <f t="shared" si="15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129">
        <v>0</v>
      </c>
      <c r="AR71" s="129">
        <v>0</v>
      </c>
    </row>
    <row r="72" spans="1:44" hidden="1" x14ac:dyDescent="0.25">
      <c r="A72" s="109" t="s">
        <v>10</v>
      </c>
      <c r="B72" s="132"/>
      <c r="C72" s="2"/>
      <c r="D72" s="2"/>
      <c r="E72" s="2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130"/>
      <c r="AR72" s="130"/>
    </row>
    <row r="73" spans="1:44" hidden="1" x14ac:dyDescent="0.25">
      <c r="A73" s="133" t="s">
        <v>24</v>
      </c>
      <c r="B73" s="132"/>
      <c r="C73" s="9">
        <f>4008760.53+5844431.63+14283.75+179317.37</f>
        <v>10046793.279999999</v>
      </c>
      <c r="D73" s="9">
        <f>989699.04+1910943.77</f>
        <v>2900642.81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32"/>
      <c r="AR73" s="32"/>
    </row>
    <row r="74" spans="1:44" hidden="1" x14ac:dyDescent="0.25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33" t="s">
        <v>12</v>
      </c>
      <c r="B75" s="132"/>
      <c r="C75" s="10">
        <f>C8+C15+C22+C29+C36+C43+C50+C57+C64+C71+C73</f>
        <v>94587677.819999993</v>
      </c>
      <c r="D75" s="10">
        <f>D8+D15+D22+D29+D36+D43+D50+D57+D64+D71+D73</f>
        <v>68008770.719999999</v>
      </c>
      <c r="E75" s="10">
        <f>E8+E15+E22+E29+E36+E43+E50+E57+E64+E71</f>
        <v>85864729.75999999</v>
      </c>
      <c r="F75" s="10">
        <f>F8+F15+F22+F29+F36+F43+F50+F57+F64+F71</f>
        <v>66510808.209999993</v>
      </c>
      <c r="G75" s="10">
        <f t="shared" ref="G75:Y75" si="16">G8+G15+G22+G29+G36+G43+G50+G57+G64+G71</f>
        <v>93511066.090000018</v>
      </c>
      <c r="H75" s="10">
        <f t="shared" si="16"/>
        <v>66963948.660000004</v>
      </c>
      <c r="I75" s="10">
        <f t="shared" si="16"/>
        <v>92440148.88000001</v>
      </c>
      <c r="J75" s="10">
        <f t="shared" si="16"/>
        <v>69371696.100000009</v>
      </c>
      <c r="K75" s="10">
        <f t="shared" si="16"/>
        <v>93692017.959999993</v>
      </c>
      <c r="L75" s="10">
        <f t="shared" si="16"/>
        <v>72494645.030000001</v>
      </c>
      <c r="M75" s="10">
        <f t="shared" si="16"/>
        <v>95350288.340000004</v>
      </c>
      <c r="N75" s="10">
        <f t="shared" si="16"/>
        <v>74699098.340000004</v>
      </c>
      <c r="O75" s="10">
        <f t="shared" si="16"/>
        <v>92952938.269999996</v>
      </c>
      <c r="P75" s="10">
        <f t="shared" si="16"/>
        <v>82357876.220000014</v>
      </c>
      <c r="Q75" s="10">
        <f t="shared" si="16"/>
        <v>97449531.209999979</v>
      </c>
      <c r="R75" s="10">
        <f t="shared" si="16"/>
        <v>74441297.569999993</v>
      </c>
      <c r="S75" s="10">
        <f t="shared" si="16"/>
        <v>96755275.489999995</v>
      </c>
      <c r="T75" s="10">
        <f t="shared" si="16"/>
        <v>74719949.890000001</v>
      </c>
      <c r="U75" s="10">
        <f t="shared" si="16"/>
        <v>97352731.719999984</v>
      </c>
      <c r="V75" s="10">
        <f t="shared" si="16"/>
        <v>74918061.669999987</v>
      </c>
      <c r="W75" s="10">
        <f t="shared" si="16"/>
        <v>103431682.53</v>
      </c>
      <c r="X75" s="10">
        <f t="shared" si="16"/>
        <v>71550048.36999999</v>
      </c>
      <c r="Y75" s="10">
        <f t="shared" si="16"/>
        <v>139512827.16999999</v>
      </c>
      <c r="Z75" s="10">
        <f>Z8+Z15+Z22+Z29+Z36+Z43+Z50+Z57+Z64+Z71</f>
        <v>116277638.82999998</v>
      </c>
      <c r="AA75" s="20">
        <f>AA8+AA15+AA22+AA29+AA36+AA43+AA50+AA57+AA64+AA71</f>
        <v>136792938.08000001</v>
      </c>
      <c r="AB75" s="20">
        <f>AB8+AB15+AB22+AB29+AB36+AB43+AB50+AB57+AB64+AB71</f>
        <v>43344897.469999999</v>
      </c>
      <c r="AC75" s="20">
        <f>AC8+AC15+AC22+AC29+AC36+AC43+AC50+AC57+AC64+AC71</f>
        <v>211086618.58000001</v>
      </c>
      <c r="AD75" s="20">
        <f>AD8+AD15+AD22+AD29+AD36+AD43+AD50+AD57+AD64+AD71</f>
        <v>119975047.31999999</v>
      </c>
      <c r="AE75" s="10">
        <f t="shared" ref="AE75:AL75" si="17">AE8+AE15+AE22+AE29+AE36+AE43+AE57+AE64</f>
        <v>210062888.64999998</v>
      </c>
      <c r="AF75" s="10">
        <f t="shared" si="17"/>
        <v>99495187.609999999</v>
      </c>
      <c r="AG75" s="10">
        <f t="shared" si="17"/>
        <v>86313931.799999982</v>
      </c>
      <c r="AH75" s="10">
        <f t="shared" si="17"/>
        <v>23141374.309999999</v>
      </c>
      <c r="AI75" s="20">
        <f t="shared" si="17"/>
        <v>128946217.90000001</v>
      </c>
      <c r="AJ75" s="20">
        <f t="shared" si="17"/>
        <v>32163242.649999999</v>
      </c>
      <c r="AK75" s="20">
        <f t="shared" si="17"/>
        <v>14429840.109999999</v>
      </c>
      <c r="AL75" s="20">
        <f t="shared" si="17"/>
        <v>0</v>
      </c>
      <c r="AM75" s="42">
        <f>AM8+AM15+AM22+AM29+AM36+AM43+AM57+AM64</f>
        <v>128435819.92</v>
      </c>
      <c r="AN75" s="42">
        <f>AN8+AN15+AN22+AN29+AN36+AN43+AN57+AN64</f>
        <v>32608514.259999998</v>
      </c>
      <c r="AO75" s="42">
        <f>AO8+AO15+AO22+AO29+AO36+AO43+AO57+AO64</f>
        <v>13519795.49</v>
      </c>
      <c r="AP75" s="42">
        <f>AP8+AP15+AP22+AP29+AP36+AP43+AP57+AP64</f>
        <v>0</v>
      </c>
      <c r="AQ75" s="35">
        <f>AM75/AI75-1</f>
        <v>-3.9582237332143055E-3</v>
      </c>
      <c r="AR75" s="35">
        <f>AO75/AK75-1</f>
        <v>-6.3066854037372888E-2</v>
      </c>
    </row>
    <row r="76" spans="1:44" x14ac:dyDescent="0.25">
      <c r="A76" s="109" t="s">
        <v>11</v>
      </c>
      <c r="B76" s="132"/>
      <c r="C76" s="2">
        <f t="shared" ref="C76:AD80" si="18">C10+C17+C24+C31+C38+C45+C52+C59+C66</f>
        <v>0</v>
      </c>
      <c r="D76" s="2">
        <f t="shared" si="18"/>
        <v>0</v>
      </c>
      <c r="E76" s="2">
        <f t="shared" si="18"/>
        <v>17953226.410000004</v>
      </c>
      <c r="F76" s="2">
        <f t="shared" si="18"/>
        <v>6382951.8399999943</v>
      </c>
      <c r="G76" s="2">
        <f t="shared" si="18"/>
        <v>19216097.170000002</v>
      </c>
      <c r="H76" s="2">
        <f t="shared" si="18"/>
        <v>6555841.7200000007</v>
      </c>
      <c r="I76" s="2">
        <f t="shared" si="18"/>
        <v>22865503.460000001</v>
      </c>
      <c r="J76" s="2">
        <f t="shared" si="18"/>
        <v>5864947.9199999999</v>
      </c>
      <c r="K76" s="2">
        <f t="shared" si="18"/>
        <v>17090632.079999998</v>
      </c>
      <c r="L76" s="2">
        <f t="shared" si="18"/>
        <v>5837825.0099999998</v>
      </c>
      <c r="M76" s="2">
        <f t="shared" si="18"/>
        <v>16099291.18</v>
      </c>
      <c r="N76" s="2">
        <f t="shared" si="18"/>
        <v>7784857.7199999997</v>
      </c>
      <c r="O76" s="2">
        <f t="shared" si="18"/>
        <v>16094244.300000001</v>
      </c>
      <c r="P76" s="2">
        <f t="shared" si="18"/>
        <v>7902977.2199999997</v>
      </c>
      <c r="Q76" s="2">
        <f t="shared" si="18"/>
        <v>20791692.359999999</v>
      </c>
      <c r="R76" s="2">
        <f t="shared" si="18"/>
        <v>7175180.9199999999</v>
      </c>
      <c r="S76" s="2">
        <f t="shared" si="18"/>
        <v>20070445.379999999</v>
      </c>
      <c r="T76" s="2">
        <f t="shared" si="18"/>
        <v>6987489.4900000002</v>
      </c>
      <c r="U76" s="2">
        <f t="shared" si="18"/>
        <v>24410984.270000003</v>
      </c>
      <c r="V76" s="2">
        <f t="shared" si="18"/>
        <v>4182653.4699999997</v>
      </c>
      <c r="W76" s="2">
        <f t="shared" si="18"/>
        <v>34358661.780000001</v>
      </c>
      <c r="X76" s="2">
        <f t="shared" si="18"/>
        <v>4756662.17</v>
      </c>
      <c r="Y76" s="2">
        <f t="shared" si="18"/>
        <v>37550191.880000003</v>
      </c>
      <c r="Z76" s="2">
        <f t="shared" si="18"/>
        <v>19969076.690000001</v>
      </c>
      <c r="AA76" s="16">
        <f t="shared" si="18"/>
        <v>78679277.219999999</v>
      </c>
      <c r="AB76" s="16">
        <f t="shared" si="18"/>
        <v>28544503.479999997</v>
      </c>
      <c r="AC76" s="16">
        <f t="shared" si="18"/>
        <v>97897786.019999981</v>
      </c>
      <c r="AD76" s="16">
        <f t="shared" si="18"/>
        <v>50095879.390000001</v>
      </c>
      <c r="AE76" s="23">
        <f t="shared" ref="AE76:AP80" si="19">AE10+AE17+AE24+AE31+AE38+AE45+AE59+AE66</f>
        <v>108565286.30999999</v>
      </c>
      <c r="AF76" s="23">
        <f>AF10+AF17+AF24+AF31+AF38+AF45+AF59+AF66</f>
        <v>66674832.540000007</v>
      </c>
      <c r="AG76" s="23">
        <f t="shared" si="19"/>
        <v>32847516.43</v>
      </c>
      <c r="AH76" s="23">
        <f t="shared" si="19"/>
        <v>21260780.43</v>
      </c>
      <c r="AI76" s="16">
        <f t="shared" si="19"/>
        <v>59026929.369999997</v>
      </c>
      <c r="AJ76" s="16">
        <f>AJ10+AJ17+AJ24+AJ31+AJ38+AJ45+AJ59+AJ66</f>
        <v>219982.55</v>
      </c>
      <c r="AK76" s="16">
        <f t="shared" si="19"/>
        <v>3777110.1399999997</v>
      </c>
      <c r="AL76" s="16">
        <f t="shared" si="19"/>
        <v>0</v>
      </c>
      <c r="AM76" s="16">
        <f>AM10+AM17+AM24+AM31+AM38+AM45+AM59+AM66</f>
        <v>60214530.959999993</v>
      </c>
      <c r="AN76" s="16">
        <f>AN10+AN17+AN24+AN31+AN38+AN45+AN59+AN66</f>
        <v>642334.57999999996</v>
      </c>
      <c r="AO76" s="16">
        <f>AO10+AO17+AO24+AO31+AO38+AO45+AO59+AO66</f>
        <v>3718990.75</v>
      </c>
      <c r="AP76" s="16">
        <f>AP10+AP17+AP24+AP31+AP38+AP45+AP59+AP66</f>
        <v>0</v>
      </c>
      <c r="AQ76" s="36"/>
      <c r="AR76" s="36"/>
    </row>
    <row r="77" spans="1:44" x14ac:dyDescent="0.25">
      <c r="A77" s="109" t="s">
        <v>8</v>
      </c>
      <c r="B77" s="132"/>
      <c r="C77" s="2">
        <f t="shared" si="18"/>
        <v>0</v>
      </c>
      <c r="D77" s="2">
        <f t="shared" si="18"/>
        <v>0</v>
      </c>
      <c r="E77" s="2">
        <f t="shared" si="18"/>
        <v>0</v>
      </c>
      <c r="F77" s="2">
        <f t="shared" si="18"/>
        <v>0</v>
      </c>
      <c r="G77" s="2">
        <f t="shared" si="18"/>
        <v>1611249.67</v>
      </c>
      <c r="H77" s="2">
        <f t="shared" si="18"/>
        <v>0</v>
      </c>
      <c r="I77" s="2">
        <f t="shared" si="18"/>
        <v>1404831.87</v>
      </c>
      <c r="J77" s="2">
        <f t="shared" si="18"/>
        <v>0</v>
      </c>
      <c r="K77" s="2">
        <f t="shared" si="18"/>
        <v>2089553.3599999999</v>
      </c>
      <c r="L77" s="2">
        <f t="shared" si="18"/>
        <v>0</v>
      </c>
      <c r="M77" s="2">
        <f t="shared" si="18"/>
        <v>1291836.76</v>
      </c>
      <c r="N77" s="2">
        <f t="shared" si="18"/>
        <v>0</v>
      </c>
      <c r="O77" s="2">
        <f t="shared" si="18"/>
        <v>1343049.24</v>
      </c>
      <c r="P77" s="2">
        <f t="shared" si="18"/>
        <v>0</v>
      </c>
      <c r="Q77" s="2">
        <f t="shared" si="18"/>
        <v>1452525.99</v>
      </c>
      <c r="R77" s="2">
        <f t="shared" si="18"/>
        <v>0</v>
      </c>
      <c r="S77" s="2">
        <f t="shared" si="18"/>
        <v>1242140.78</v>
      </c>
      <c r="T77" s="2">
        <f t="shared" si="18"/>
        <v>0</v>
      </c>
      <c r="U77" s="2">
        <f t="shared" si="18"/>
        <v>1196585.6499999999</v>
      </c>
      <c r="V77" s="2">
        <f t="shared" si="18"/>
        <v>0</v>
      </c>
      <c r="W77" s="2">
        <f t="shared" si="18"/>
        <v>1283435.7</v>
      </c>
      <c r="X77" s="2">
        <f t="shared" si="18"/>
        <v>0</v>
      </c>
      <c r="Y77" s="2">
        <f t="shared" si="18"/>
        <v>0</v>
      </c>
      <c r="Z77" s="2">
        <f t="shared" si="18"/>
        <v>0</v>
      </c>
      <c r="AA77" s="16">
        <f t="shared" si="18"/>
        <v>28007459.789999999</v>
      </c>
      <c r="AB77" s="16">
        <f t="shared" si="18"/>
        <v>0</v>
      </c>
      <c r="AC77" s="16">
        <f t="shared" si="18"/>
        <v>33425614.419999998</v>
      </c>
      <c r="AD77" s="16">
        <f t="shared" si="18"/>
        <v>0</v>
      </c>
      <c r="AE77" s="23">
        <f t="shared" si="19"/>
        <v>33462185.5</v>
      </c>
      <c r="AF77" s="23">
        <f t="shared" si="19"/>
        <v>18386199.240000002</v>
      </c>
      <c r="AG77" s="23">
        <f t="shared" si="19"/>
        <v>0</v>
      </c>
      <c r="AH77" s="23">
        <f t="shared" si="19"/>
        <v>0</v>
      </c>
      <c r="AI77" s="16">
        <f t="shared" si="19"/>
        <v>36363970.560000002</v>
      </c>
      <c r="AJ77" s="16">
        <f t="shared" si="19"/>
        <v>19065790.949999999</v>
      </c>
      <c r="AK77" s="16">
        <f t="shared" si="19"/>
        <v>0</v>
      </c>
      <c r="AL77" s="16">
        <f t="shared" si="19"/>
        <v>0</v>
      </c>
      <c r="AM77" s="16">
        <f t="shared" si="19"/>
        <v>38985353.899999999</v>
      </c>
      <c r="AN77" s="16">
        <f t="shared" si="19"/>
        <v>21105104.09</v>
      </c>
      <c r="AO77" s="16">
        <f t="shared" si="19"/>
        <v>0</v>
      </c>
      <c r="AP77" s="16">
        <f t="shared" si="19"/>
        <v>0</v>
      </c>
      <c r="AQ77" s="37"/>
      <c r="AR77" s="37"/>
    </row>
    <row r="78" spans="1:44" x14ac:dyDescent="0.25">
      <c r="A78" s="109" t="s">
        <v>9</v>
      </c>
      <c r="B78" s="132"/>
      <c r="C78" s="2">
        <f t="shared" si="18"/>
        <v>0</v>
      </c>
      <c r="D78" s="2">
        <f t="shared" si="18"/>
        <v>0</v>
      </c>
      <c r="E78" s="2">
        <f t="shared" si="18"/>
        <v>5781112.8999999994</v>
      </c>
      <c r="F78" s="2">
        <f t="shared" si="18"/>
        <v>0</v>
      </c>
      <c r="G78" s="2">
        <f t="shared" si="18"/>
        <v>841993.46</v>
      </c>
      <c r="H78" s="2">
        <f t="shared" si="18"/>
        <v>0</v>
      </c>
      <c r="I78" s="2">
        <f t="shared" si="18"/>
        <v>730672.66</v>
      </c>
      <c r="J78" s="2">
        <f t="shared" si="18"/>
        <v>0</v>
      </c>
      <c r="K78" s="2">
        <f t="shared" si="18"/>
        <v>907890.05999999994</v>
      </c>
      <c r="L78" s="2">
        <f t="shared" si="18"/>
        <v>0</v>
      </c>
      <c r="M78" s="2">
        <f t="shared" si="18"/>
        <v>596611.02</v>
      </c>
      <c r="N78" s="2">
        <f t="shared" si="18"/>
        <v>0</v>
      </c>
      <c r="O78" s="2">
        <f t="shared" si="18"/>
        <v>806056.14</v>
      </c>
      <c r="P78" s="2">
        <f t="shared" si="18"/>
        <v>0</v>
      </c>
      <c r="Q78" s="2">
        <f t="shared" si="18"/>
        <v>910579.46000000008</v>
      </c>
      <c r="R78" s="2">
        <f t="shared" si="18"/>
        <v>0</v>
      </c>
      <c r="S78" s="2">
        <f t="shared" si="18"/>
        <v>832315.84</v>
      </c>
      <c r="T78" s="2">
        <f t="shared" si="18"/>
        <v>0</v>
      </c>
      <c r="U78" s="2">
        <f t="shared" si="18"/>
        <v>786043.03</v>
      </c>
      <c r="V78" s="2">
        <f t="shared" si="18"/>
        <v>0</v>
      </c>
      <c r="W78" s="2">
        <f t="shared" si="18"/>
        <v>782576.37000000011</v>
      </c>
      <c r="X78" s="2">
        <f t="shared" si="18"/>
        <v>0</v>
      </c>
      <c r="Y78" s="2">
        <f t="shared" si="18"/>
        <v>4770499.5100000007</v>
      </c>
      <c r="Z78" s="2">
        <f t="shared" si="18"/>
        <v>0</v>
      </c>
      <c r="AA78" s="16">
        <f t="shared" si="18"/>
        <v>11517101.640000001</v>
      </c>
      <c r="AB78" s="16">
        <f t="shared" si="18"/>
        <v>0</v>
      </c>
      <c r="AC78" s="16">
        <f t="shared" si="18"/>
        <v>17564868.849999998</v>
      </c>
      <c r="AD78" s="16">
        <f t="shared" si="18"/>
        <v>11291466.59</v>
      </c>
      <c r="AE78" s="23">
        <f t="shared" si="19"/>
        <v>25972037.23</v>
      </c>
      <c r="AF78" s="23">
        <f t="shared" si="19"/>
        <v>12978010.970000001</v>
      </c>
      <c r="AG78" s="23">
        <f t="shared" si="19"/>
        <v>14772077.07</v>
      </c>
      <c r="AH78" s="23">
        <f t="shared" si="19"/>
        <v>1220473.1199999999</v>
      </c>
      <c r="AI78" s="16">
        <f t="shared" si="19"/>
        <v>19092310.379999999</v>
      </c>
      <c r="AJ78" s="16">
        <f t="shared" si="19"/>
        <v>9924703.2199999988</v>
      </c>
      <c r="AK78" s="16">
        <f t="shared" si="19"/>
        <v>0</v>
      </c>
      <c r="AL78" s="16">
        <f t="shared" si="19"/>
        <v>0</v>
      </c>
      <c r="AM78" s="16">
        <f t="shared" si="19"/>
        <v>15990523.279999999</v>
      </c>
      <c r="AN78" s="16">
        <f t="shared" si="19"/>
        <v>9340611.4600000009</v>
      </c>
      <c r="AO78" s="16">
        <f t="shared" si="19"/>
        <v>0</v>
      </c>
      <c r="AP78" s="16">
        <f t="shared" si="19"/>
        <v>0</v>
      </c>
      <c r="AQ78" s="37"/>
      <c r="AR78" s="37"/>
    </row>
    <row r="79" spans="1:44" x14ac:dyDescent="0.25">
      <c r="A79" s="109" t="s">
        <v>10</v>
      </c>
      <c r="B79" s="132"/>
      <c r="C79" s="2">
        <f t="shared" ref="C79:Z79" si="20">C13+C20+C27+C34+C41+C48+C55+C62+C69+C72</f>
        <v>0</v>
      </c>
      <c r="D79" s="2">
        <f t="shared" si="20"/>
        <v>0</v>
      </c>
      <c r="E79" s="2">
        <f t="shared" si="20"/>
        <v>60461371.310000002</v>
      </c>
      <c r="F79" s="2">
        <f t="shared" si="20"/>
        <v>58245420.57</v>
      </c>
      <c r="G79" s="2">
        <f t="shared" si="20"/>
        <v>69929562.310000002</v>
      </c>
      <c r="H79" s="2">
        <f t="shared" si="20"/>
        <v>58525671.140000001</v>
      </c>
      <c r="I79" s="2">
        <f t="shared" si="20"/>
        <v>65526882.990000002</v>
      </c>
      <c r="J79" s="2">
        <f t="shared" si="20"/>
        <v>61624312.380000003</v>
      </c>
      <c r="K79" s="2">
        <f t="shared" si="20"/>
        <v>71721506.659999996</v>
      </c>
      <c r="L79" s="2">
        <f t="shared" si="20"/>
        <v>64774384.220000006</v>
      </c>
      <c r="M79" s="2">
        <f t="shared" si="20"/>
        <v>75480113.579999998</v>
      </c>
      <c r="N79" s="2">
        <f t="shared" si="20"/>
        <v>65031804.82</v>
      </c>
      <c r="O79" s="2">
        <f t="shared" si="20"/>
        <v>72791361.200000003</v>
      </c>
      <c r="P79" s="2">
        <f t="shared" si="20"/>
        <v>72572463.200000003</v>
      </c>
      <c r="Q79" s="2">
        <f t="shared" si="20"/>
        <v>72380297.609999999</v>
      </c>
      <c r="R79" s="2">
        <f t="shared" si="20"/>
        <v>65383680.850000001</v>
      </c>
      <c r="S79" s="2">
        <f t="shared" si="20"/>
        <v>72695876.399999991</v>
      </c>
      <c r="T79" s="2">
        <f t="shared" si="20"/>
        <v>65850024.600000001</v>
      </c>
      <c r="U79" s="2">
        <f t="shared" si="20"/>
        <v>69041659.049999997</v>
      </c>
      <c r="V79" s="2">
        <f t="shared" si="20"/>
        <v>68852972.399999991</v>
      </c>
      <c r="W79" s="2">
        <f t="shared" si="20"/>
        <v>65102023.400000006</v>
      </c>
      <c r="X79" s="2">
        <f t="shared" si="20"/>
        <v>64910950.400000006</v>
      </c>
      <c r="Y79" s="2">
        <f t="shared" si="20"/>
        <v>66208215.299999997</v>
      </c>
      <c r="Z79" s="2">
        <f t="shared" si="20"/>
        <v>65394874.099999994</v>
      </c>
      <c r="AA79" s="16">
        <f t="shared" si="18"/>
        <v>14182522.93</v>
      </c>
      <c r="AB79" s="16">
        <f t="shared" si="18"/>
        <v>12430432.640000001</v>
      </c>
      <c r="AC79" s="16">
        <f t="shared" si="18"/>
        <v>21845555.419999998</v>
      </c>
      <c r="AD79" s="16">
        <f t="shared" si="18"/>
        <v>20453326.48</v>
      </c>
      <c r="AE79" s="23">
        <f t="shared" si="19"/>
        <v>8512543.2200000007</v>
      </c>
      <c r="AF79" s="23">
        <f t="shared" si="19"/>
        <v>93556.36</v>
      </c>
      <c r="AG79" s="23">
        <f t="shared" si="19"/>
        <v>7493731.0800000001</v>
      </c>
      <c r="AH79" s="23">
        <f t="shared" si="19"/>
        <v>0</v>
      </c>
      <c r="AI79" s="16">
        <f t="shared" si="19"/>
        <v>6592704.9900000012</v>
      </c>
      <c r="AJ79" s="16">
        <f t="shared" si="19"/>
        <v>92285.57</v>
      </c>
      <c r="AK79" s="16">
        <f t="shared" si="19"/>
        <v>5647572.7300000004</v>
      </c>
      <c r="AL79" s="16">
        <f t="shared" si="19"/>
        <v>0</v>
      </c>
      <c r="AM79" s="16">
        <f t="shared" si="19"/>
        <v>11815794.4</v>
      </c>
      <c r="AN79" s="16">
        <f t="shared" si="19"/>
        <v>90846.75</v>
      </c>
      <c r="AO79" s="16">
        <f t="shared" si="19"/>
        <v>9800804.7400000002</v>
      </c>
      <c r="AP79" s="16">
        <f t="shared" si="19"/>
        <v>0</v>
      </c>
      <c r="AQ79" s="37"/>
      <c r="AR79" s="37"/>
    </row>
    <row r="80" spans="1:44" x14ac:dyDescent="0.25">
      <c r="A80" s="109" t="s">
        <v>16</v>
      </c>
      <c r="B80" s="132"/>
      <c r="C80" s="2">
        <f>C14+C21+C28+C35+C42+C49+C56+C63+C70</f>
        <v>0</v>
      </c>
      <c r="D80" s="2">
        <f>D14+D21+D28+D35+D42+D49+D56+D63+D70</f>
        <v>0</v>
      </c>
      <c r="E80" s="2">
        <f t="shared" si="18"/>
        <v>1669019.14</v>
      </c>
      <c r="F80" s="2">
        <f t="shared" si="18"/>
        <v>1882435.7999999998</v>
      </c>
      <c r="G80" s="2">
        <f t="shared" si="18"/>
        <v>1912163.48</v>
      </c>
      <c r="H80" s="2">
        <f t="shared" si="18"/>
        <v>1882435.8</v>
      </c>
      <c r="I80" s="2">
        <f t="shared" si="18"/>
        <v>1912257.9000000001</v>
      </c>
      <c r="J80" s="2">
        <f t="shared" si="18"/>
        <v>1882435.8</v>
      </c>
      <c r="K80" s="2">
        <f t="shared" si="18"/>
        <v>1882435.8</v>
      </c>
      <c r="L80" s="2">
        <f t="shared" si="18"/>
        <v>1882435.8</v>
      </c>
      <c r="M80" s="2">
        <f t="shared" si="18"/>
        <v>1882435.8</v>
      </c>
      <c r="N80" s="2">
        <f t="shared" si="18"/>
        <v>1882435.8</v>
      </c>
      <c r="O80" s="2">
        <f t="shared" si="18"/>
        <v>1918227.3900000001</v>
      </c>
      <c r="P80" s="2">
        <f t="shared" si="18"/>
        <v>1882435.8</v>
      </c>
      <c r="Q80" s="2">
        <f t="shared" si="18"/>
        <v>1914435.79</v>
      </c>
      <c r="R80" s="2">
        <f t="shared" si="18"/>
        <v>1882435.8</v>
      </c>
      <c r="S80" s="2">
        <f t="shared" si="18"/>
        <v>1914497.09</v>
      </c>
      <c r="T80" s="2">
        <f t="shared" si="18"/>
        <v>1882435.8</v>
      </c>
      <c r="U80" s="2">
        <f t="shared" si="18"/>
        <v>1917459.72</v>
      </c>
      <c r="V80" s="2">
        <f t="shared" si="18"/>
        <v>1882435.8</v>
      </c>
      <c r="W80" s="2">
        <f t="shared" si="18"/>
        <v>1904985.28</v>
      </c>
      <c r="X80" s="2">
        <f t="shared" si="18"/>
        <v>1882435.8</v>
      </c>
      <c r="Y80" s="2">
        <f t="shared" si="18"/>
        <v>30983920.480000004</v>
      </c>
      <c r="Z80" s="2">
        <f t="shared" si="18"/>
        <v>30913688.039999999</v>
      </c>
      <c r="AA80" s="16">
        <f t="shared" si="18"/>
        <v>4406576.5</v>
      </c>
      <c r="AB80" s="16">
        <f t="shared" si="18"/>
        <v>2369961.35</v>
      </c>
      <c r="AC80" s="16">
        <f t="shared" si="18"/>
        <v>40352793.869999997</v>
      </c>
      <c r="AD80" s="16">
        <f t="shared" si="18"/>
        <v>38134374.859999999</v>
      </c>
      <c r="AE80" s="23">
        <f t="shared" si="19"/>
        <v>33550836.390000001</v>
      </c>
      <c r="AF80" s="23">
        <f t="shared" si="19"/>
        <v>1362588.5</v>
      </c>
      <c r="AG80" s="23">
        <f t="shared" si="19"/>
        <v>31200607.219999999</v>
      </c>
      <c r="AH80" s="23">
        <f t="shared" si="19"/>
        <v>660120.76</v>
      </c>
      <c r="AI80" s="16">
        <f t="shared" si="19"/>
        <v>7870302.5999999996</v>
      </c>
      <c r="AJ80" s="16">
        <f t="shared" si="19"/>
        <v>2860480.3600000003</v>
      </c>
      <c r="AK80" s="16">
        <f t="shared" si="19"/>
        <v>5005157.24</v>
      </c>
      <c r="AL80" s="16">
        <f t="shared" si="19"/>
        <v>0</v>
      </c>
      <c r="AM80" s="16">
        <f t="shared" si="19"/>
        <v>1429617.38</v>
      </c>
      <c r="AN80" s="16">
        <f t="shared" si="19"/>
        <v>1429617.38</v>
      </c>
      <c r="AO80" s="16">
        <f t="shared" si="19"/>
        <v>0</v>
      </c>
      <c r="AP80" s="16">
        <f t="shared" si="19"/>
        <v>0</v>
      </c>
      <c r="AQ80" s="37"/>
      <c r="AR80" s="37"/>
    </row>
    <row r="81" spans="1:44" ht="30.75" customHeight="1" x14ac:dyDescent="0.25">
      <c r="A81" s="133" t="s">
        <v>20</v>
      </c>
      <c r="B81" s="132"/>
      <c r="C81" s="3">
        <v>19700824</v>
      </c>
      <c r="D81" s="3"/>
      <c r="E81" s="3">
        <v>30646350</v>
      </c>
      <c r="F81" s="3"/>
      <c r="G81" s="3">
        <v>30646350</v>
      </c>
      <c r="H81" s="3"/>
      <c r="I81" s="3">
        <v>30646350</v>
      </c>
      <c r="J81" s="3"/>
      <c r="K81" s="3">
        <v>30646350</v>
      </c>
      <c r="L81" s="3"/>
      <c r="M81" s="3">
        <v>30646350</v>
      </c>
      <c r="N81" s="3"/>
      <c r="O81" s="3">
        <v>30646350</v>
      </c>
      <c r="P81" s="3"/>
      <c r="Q81" s="3">
        <v>30646350</v>
      </c>
      <c r="R81" s="3"/>
      <c r="S81" s="3">
        <v>39646350</v>
      </c>
      <c r="T81" s="3"/>
      <c r="U81" s="3">
        <v>39646350</v>
      </c>
      <c r="V81" s="3"/>
      <c r="W81" s="3">
        <v>39646350</v>
      </c>
      <c r="X81" s="3"/>
      <c r="Y81" s="3">
        <v>39592849</v>
      </c>
      <c r="Z81" s="3"/>
      <c r="AA81" s="22">
        <v>43884741</v>
      </c>
      <c r="AB81" s="18"/>
      <c r="AC81" s="22">
        <v>38729175</v>
      </c>
      <c r="AD81" s="18"/>
      <c r="AE81" s="3">
        <v>15529000</v>
      </c>
      <c r="AF81" s="18"/>
      <c r="AG81" s="18"/>
      <c r="AH81" s="18"/>
      <c r="AI81" s="22">
        <v>1250000</v>
      </c>
      <c r="AJ81" s="22"/>
      <c r="AK81" s="22"/>
      <c r="AL81" s="22"/>
      <c r="AM81" s="22">
        <v>625000</v>
      </c>
      <c r="AN81" s="22"/>
      <c r="AO81" s="22"/>
      <c r="AP81" s="22"/>
      <c r="AQ81" s="37"/>
      <c r="AR81" s="37"/>
    </row>
    <row r="82" spans="1:44" x14ac:dyDescent="0.25">
      <c r="A82" s="133" t="s">
        <v>21</v>
      </c>
      <c r="B82" s="132"/>
      <c r="C82" s="3">
        <f t="shared" ref="C82:AA82" si="21">C75+C81</f>
        <v>114288501.81999999</v>
      </c>
      <c r="D82" s="3">
        <f t="shared" si="21"/>
        <v>68008770.719999999</v>
      </c>
      <c r="E82" s="3">
        <f t="shared" si="21"/>
        <v>116511079.75999999</v>
      </c>
      <c r="F82" s="3">
        <f t="shared" si="21"/>
        <v>66510808.209999993</v>
      </c>
      <c r="G82" s="3">
        <f t="shared" si="21"/>
        <v>124157416.09000002</v>
      </c>
      <c r="H82" s="3">
        <f t="shared" si="21"/>
        <v>66963948.660000004</v>
      </c>
      <c r="I82" s="3">
        <f t="shared" si="21"/>
        <v>123086498.88000001</v>
      </c>
      <c r="J82" s="3">
        <f t="shared" si="21"/>
        <v>69371696.100000009</v>
      </c>
      <c r="K82" s="3">
        <f t="shared" si="21"/>
        <v>124338367.95999999</v>
      </c>
      <c r="L82" s="3">
        <f t="shared" si="21"/>
        <v>72494645.030000001</v>
      </c>
      <c r="M82" s="3">
        <f t="shared" si="21"/>
        <v>125996638.34</v>
      </c>
      <c r="N82" s="3">
        <f t="shared" si="21"/>
        <v>74699098.340000004</v>
      </c>
      <c r="O82" s="3">
        <f t="shared" si="21"/>
        <v>123599288.27</v>
      </c>
      <c r="P82" s="3">
        <f t="shared" si="21"/>
        <v>82357876.220000014</v>
      </c>
      <c r="Q82" s="3">
        <f t="shared" si="21"/>
        <v>128095881.20999998</v>
      </c>
      <c r="R82" s="3">
        <f t="shared" si="21"/>
        <v>74441297.569999993</v>
      </c>
      <c r="S82" s="3">
        <f t="shared" si="21"/>
        <v>136401625.49000001</v>
      </c>
      <c r="T82" s="3">
        <f t="shared" si="21"/>
        <v>74719949.890000001</v>
      </c>
      <c r="U82" s="3">
        <f t="shared" si="21"/>
        <v>136999081.71999997</v>
      </c>
      <c r="V82" s="3">
        <f t="shared" si="21"/>
        <v>74918061.669999987</v>
      </c>
      <c r="W82" s="3">
        <f t="shared" si="21"/>
        <v>143078032.53</v>
      </c>
      <c r="X82" s="3">
        <f t="shared" si="21"/>
        <v>71550048.36999999</v>
      </c>
      <c r="Y82" s="3">
        <f t="shared" si="21"/>
        <v>179105676.16999999</v>
      </c>
      <c r="Z82" s="3">
        <f t="shared" si="21"/>
        <v>116277638.82999998</v>
      </c>
      <c r="AA82" s="22">
        <f t="shared" si="21"/>
        <v>180677679.08000001</v>
      </c>
      <c r="AB82" s="22">
        <f>AB75+AB81</f>
        <v>43344897.469999999</v>
      </c>
      <c r="AC82" s="22">
        <f t="shared" ref="AC82:AP82" si="22">AC75+AC81</f>
        <v>249815793.58000001</v>
      </c>
      <c r="AD82" s="22">
        <f t="shared" si="22"/>
        <v>119975047.31999999</v>
      </c>
      <c r="AE82" s="3">
        <f t="shared" si="22"/>
        <v>225591888.64999998</v>
      </c>
      <c r="AF82" s="3">
        <f t="shared" si="22"/>
        <v>99495187.609999999</v>
      </c>
      <c r="AG82" s="3">
        <f t="shared" si="22"/>
        <v>86313931.799999982</v>
      </c>
      <c r="AH82" s="3">
        <f t="shared" si="22"/>
        <v>23141374.309999999</v>
      </c>
      <c r="AI82" s="22">
        <f t="shared" si="22"/>
        <v>130196217.90000001</v>
      </c>
      <c r="AJ82" s="22">
        <f t="shared" si="22"/>
        <v>32163242.649999999</v>
      </c>
      <c r="AK82" s="22">
        <f t="shared" si="22"/>
        <v>14429840.109999999</v>
      </c>
      <c r="AL82" s="22">
        <f t="shared" si="22"/>
        <v>0</v>
      </c>
      <c r="AM82" s="22">
        <f t="shared" si="22"/>
        <v>129060819.92</v>
      </c>
      <c r="AN82" s="22">
        <f t="shared" si="22"/>
        <v>32608514.259999998</v>
      </c>
      <c r="AO82" s="22">
        <f t="shared" si="22"/>
        <v>13519795.49</v>
      </c>
      <c r="AP82" s="22">
        <f t="shared" si="22"/>
        <v>0</v>
      </c>
      <c r="AQ82" s="36">
        <f>AM82/AI82-1</f>
        <v>-8.7206679142712851E-3</v>
      </c>
      <c r="AR82" s="36">
        <f>AO82/AK82-1</f>
        <v>-6.3066854037372888E-2</v>
      </c>
    </row>
    <row r="83" spans="1:44" x14ac:dyDescent="0.25">
      <c r="A83" s="109" t="s">
        <v>22</v>
      </c>
      <c r="B83" s="13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21"/>
      <c r="AN83" s="21"/>
      <c r="AO83" s="21"/>
      <c r="AP83" s="21"/>
      <c r="AQ83" s="21"/>
      <c r="AR83" s="21"/>
    </row>
    <row r="84" spans="1:44" x14ac:dyDescent="0.25">
      <c r="A84" s="109" t="s">
        <v>27</v>
      </c>
      <c r="B84" s="132"/>
      <c r="C84" s="4">
        <v>102575991</v>
      </c>
      <c r="D84" s="4">
        <v>63430848.460000001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x14ac:dyDescent="0.25">
      <c r="A85" s="109" t="s">
        <v>26</v>
      </c>
      <c r="B85" s="132"/>
      <c r="C85" s="4">
        <f>C82-C84</f>
        <v>11712510.819999993</v>
      </c>
      <c r="D85" s="4">
        <f>D82-D84</f>
        <v>4577922.2599999979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x14ac:dyDescent="0.25">
      <c r="A86" s="109" t="s">
        <v>40</v>
      </c>
      <c r="B86" s="13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1">
        <v>2369961.35</v>
      </c>
      <c r="AB86" s="21">
        <v>2369961.35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</sheetData>
  <mergeCells count="452"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Q71:AQ72"/>
    <mergeCell ref="AR71:AR72"/>
    <mergeCell ref="A72:B72"/>
    <mergeCell ref="A73:B73"/>
    <mergeCell ref="AP64:AP65"/>
    <mergeCell ref="AQ64:AQ65"/>
    <mergeCell ref="AR64:AR65"/>
    <mergeCell ref="A66:B66"/>
    <mergeCell ref="A67:B67"/>
    <mergeCell ref="A68:B68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F64:F65"/>
    <mergeCell ref="G64:G65"/>
    <mergeCell ref="H64:H65"/>
    <mergeCell ref="I64:I65"/>
    <mergeCell ref="J64:J65"/>
    <mergeCell ref="K64:K65"/>
    <mergeCell ref="A62:B62"/>
    <mergeCell ref="A63:B63"/>
    <mergeCell ref="A64:B65"/>
    <mergeCell ref="C64:C65"/>
    <mergeCell ref="D64:D65"/>
    <mergeCell ref="E64:E65"/>
    <mergeCell ref="AP57:AP58"/>
    <mergeCell ref="AQ57:AQ58"/>
    <mergeCell ref="AR57:AR58"/>
    <mergeCell ref="A59:B59"/>
    <mergeCell ref="A60:B60"/>
    <mergeCell ref="A61:B61"/>
    <mergeCell ref="AJ57:AJ58"/>
    <mergeCell ref="AK57:AK58"/>
    <mergeCell ref="AL57:AL58"/>
    <mergeCell ref="AM57:AM58"/>
    <mergeCell ref="AN57:AN58"/>
    <mergeCell ref="AO57:AO58"/>
    <mergeCell ref="AD57:AD58"/>
    <mergeCell ref="AE57:AE58"/>
    <mergeCell ref="AF57:AF58"/>
    <mergeCell ref="AG57:AG58"/>
    <mergeCell ref="AH57:AH58"/>
    <mergeCell ref="AI57:AI58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A55:B55"/>
    <mergeCell ref="A56:B56"/>
    <mergeCell ref="A57:B58"/>
    <mergeCell ref="C57:C58"/>
    <mergeCell ref="D57:D58"/>
    <mergeCell ref="E57:E58"/>
    <mergeCell ref="Z50:Z51"/>
    <mergeCell ref="AQ50:AQ51"/>
    <mergeCell ref="AR50:AR51"/>
    <mergeCell ref="A52:B52"/>
    <mergeCell ref="A53:B53"/>
    <mergeCell ref="A54:B54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50:B51"/>
    <mergeCell ref="C50:C51"/>
    <mergeCell ref="D50:D51"/>
    <mergeCell ref="E50:E51"/>
    <mergeCell ref="F50:F51"/>
    <mergeCell ref="G50:G51"/>
    <mergeCell ref="AR43:AR44"/>
    <mergeCell ref="A45:B45"/>
    <mergeCell ref="A46:B46"/>
    <mergeCell ref="A47:B47"/>
    <mergeCell ref="A48:B48"/>
    <mergeCell ref="A49:B49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43:B44"/>
    <mergeCell ref="C43:C44"/>
    <mergeCell ref="D43:D44"/>
    <mergeCell ref="E43:E44"/>
    <mergeCell ref="F43:F44"/>
    <mergeCell ref="G43:G44"/>
    <mergeCell ref="AR36:AR37"/>
    <mergeCell ref="A38:B38"/>
    <mergeCell ref="A39:B39"/>
    <mergeCell ref="A40:B40"/>
    <mergeCell ref="A41:B41"/>
    <mergeCell ref="A42:B42"/>
    <mergeCell ref="AL36:AL37"/>
    <mergeCell ref="AM36:AM37"/>
    <mergeCell ref="AN36:AN37"/>
    <mergeCell ref="AO36:AO37"/>
    <mergeCell ref="AP36:AP37"/>
    <mergeCell ref="AQ36:AQ37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B37"/>
    <mergeCell ref="C36:C37"/>
    <mergeCell ref="D36:D37"/>
    <mergeCell ref="E36:E37"/>
    <mergeCell ref="F36:F37"/>
    <mergeCell ref="G36:G37"/>
    <mergeCell ref="AR29:AR30"/>
    <mergeCell ref="A31:B31"/>
    <mergeCell ref="A32:B32"/>
    <mergeCell ref="A33:B33"/>
    <mergeCell ref="A34:B34"/>
    <mergeCell ref="A35:B35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AR22:AR23"/>
    <mergeCell ref="A24:B24"/>
    <mergeCell ref="A25:B25"/>
    <mergeCell ref="A26:B26"/>
    <mergeCell ref="A27:B27"/>
    <mergeCell ref="A28:B28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B23"/>
    <mergeCell ref="C22:C23"/>
    <mergeCell ref="D22:D23"/>
    <mergeCell ref="E22:E23"/>
    <mergeCell ref="F22:F23"/>
    <mergeCell ref="G22:G23"/>
    <mergeCell ref="AR15:AR16"/>
    <mergeCell ref="A17:B17"/>
    <mergeCell ref="A18:B18"/>
    <mergeCell ref="A19:B19"/>
    <mergeCell ref="A20:B20"/>
    <mergeCell ref="A21:B21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15:B16"/>
    <mergeCell ref="C15:C16"/>
    <mergeCell ref="D15:D16"/>
    <mergeCell ref="E15:E16"/>
    <mergeCell ref="F15:F16"/>
    <mergeCell ref="G15:G16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Y8:Y9"/>
    <mergeCell ref="N8:N9"/>
    <mergeCell ref="O8:O9"/>
    <mergeCell ref="W8:W9"/>
    <mergeCell ref="X8:X9"/>
    <mergeCell ref="P8:P9"/>
    <mergeCell ref="Q8:Q9"/>
    <mergeCell ref="R8:R9"/>
    <mergeCell ref="S8:S9"/>
    <mergeCell ref="AR8:AR9"/>
    <mergeCell ref="A10:B10"/>
    <mergeCell ref="AQ8:AQ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R6"/>
    <mergeCell ref="Y5:Z6"/>
    <mergeCell ref="AA5:AB6"/>
    <mergeCell ref="AC5:AD6"/>
    <mergeCell ref="AE5:AH6"/>
    <mergeCell ref="AI5:AL6"/>
    <mergeCell ref="AM5:AP6"/>
    <mergeCell ref="S5:T6"/>
    <mergeCell ref="U5:V6"/>
    <mergeCell ref="W5:X6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86"/>
  <sheetViews>
    <sheetView workbookViewId="0">
      <selection activeCell="AT13" sqref="AT13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42" width="14" customWidth="1"/>
    <col min="44" max="44" width="11.5703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43617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43579240.009999998</v>
      </c>
      <c r="AN8" s="120">
        <f>AN10+AN11+AN12+AN13+AN14</f>
        <v>352736.71</v>
      </c>
      <c r="AO8" s="120">
        <f>AO10+AO11+AO12+AO13+AO14</f>
        <v>0</v>
      </c>
      <c r="AP8" s="120">
        <f>AP10+AP11+AP12+AP13+AP14</f>
        <v>0</v>
      </c>
      <c r="AQ8" s="116">
        <f>AM8/AI8-1</f>
        <v>2.9420734770446932E-2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f>1701786.53+296821.68+34199488.67+2107839.44+9906.42</f>
        <v>38315842.740000002</v>
      </c>
      <c r="AN10" s="19">
        <v>18459.23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f>1733153.26+1435921.37+253070.03</f>
        <v>3422144.6599999997</v>
      </c>
      <c r="AN11" s="19">
        <v>216174.2</v>
      </c>
      <c r="AO11" s="19"/>
      <c r="AP11" s="19"/>
      <c r="AQ11" s="34"/>
      <c r="AR11" s="34"/>
    </row>
    <row r="12" spans="1:44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f>1037961.05+656117.93+147173.63</f>
        <v>1841252.6099999999</v>
      </c>
      <c r="AN13" s="19">
        <v>118103.28</v>
      </c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2"/>
      <c r="AN14" s="12"/>
      <c r="AO14" s="12"/>
      <c r="AP14" s="12"/>
      <c r="AQ14" s="39"/>
      <c r="AR14" s="39"/>
    </row>
    <row r="15" spans="1:44" x14ac:dyDescent="0.25">
      <c r="A15" s="111" t="s">
        <v>1</v>
      </c>
      <c r="B15" s="112"/>
      <c r="C15" s="115">
        <f>SUM(C17:C21)</f>
        <v>0</v>
      </c>
      <c r="D15" s="115">
        <f>SUM(D17:D21)</f>
        <v>0</v>
      </c>
      <c r="E15" s="115">
        <f t="shared" ref="E15:AD15" si="1">SUM(E17:E21)</f>
        <v>35747.5</v>
      </c>
      <c r="F15" s="115">
        <f t="shared" si="1"/>
        <v>0</v>
      </c>
      <c r="G15" s="115">
        <f t="shared" si="1"/>
        <v>0</v>
      </c>
      <c r="H15" s="115">
        <f t="shared" si="1"/>
        <v>0</v>
      </c>
      <c r="I15" s="115">
        <f t="shared" si="1"/>
        <v>0</v>
      </c>
      <c r="J15" s="115">
        <f t="shared" si="1"/>
        <v>0</v>
      </c>
      <c r="K15" s="115">
        <f t="shared" si="1"/>
        <v>120756.41</v>
      </c>
      <c r="L15" s="115">
        <f t="shared" si="1"/>
        <v>0</v>
      </c>
      <c r="M15" s="115">
        <f t="shared" si="1"/>
        <v>144077.24</v>
      </c>
      <c r="N15" s="115">
        <f t="shared" si="1"/>
        <v>0</v>
      </c>
      <c r="O15" s="115">
        <f t="shared" si="1"/>
        <v>122267.09</v>
      </c>
      <c r="P15" s="115">
        <f t="shared" si="1"/>
        <v>0</v>
      </c>
      <c r="Q15" s="115">
        <f t="shared" si="1"/>
        <v>81760.240000000005</v>
      </c>
      <c r="R15" s="115">
        <f t="shared" si="1"/>
        <v>0</v>
      </c>
      <c r="S15" s="115">
        <f t="shared" si="1"/>
        <v>68067.33</v>
      </c>
      <c r="T15" s="115">
        <f t="shared" si="1"/>
        <v>0</v>
      </c>
      <c r="U15" s="115">
        <f t="shared" si="1"/>
        <v>61711.68</v>
      </c>
      <c r="V15" s="115">
        <f t="shared" si="1"/>
        <v>0</v>
      </c>
      <c r="W15" s="115">
        <f t="shared" si="1"/>
        <v>0</v>
      </c>
      <c r="X15" s="115">
        <f t="shared" si="1"/>
        <v>0</v>
      </c>
      <c r="Y15" s="115">
        <f t="shared" si="1"/>
        <v>217.78</v>
      </c>
      <c r="Z15" s="115">
        <f t="shared" si="1"/>
        <v>0</v>
      </c>
      <c r="AA15" s="128">
        <f t="shared" si="1"/>
        <v>187710.37</v>
      </c>
      <c r="AB15" s="128">
        <f t="shared" si="1"/>
        <v>0</v>
      </c>
      <c r="AC15" s="128">
        <f t="shared" si="1"/>
        <v>333233.98</v>
      </c>
      <c r="AD15" s="128">
        <f t="shared" si="1"/>
        <v>0</v>
      </c>
      <c r="AE15" s="126">
        <f t="shared" ref="AE15:AL15" si="2">AE17+AE18+AE19+AE20+AE21</f>
        <v>667959.52</v>
      </c>
      <c r="AF15" s="126">
        <f t="shared" si="2"/>
        <v>0</v>
      </c>
      <c r="AG15" s="126">
        <f t="shared" si="2"/>
        <v>94034.71</v>
      </c>
      <c r="AH15" s="126">
        <f t="shared" si="2"/>
        <v>0</v>
      </c>
      <c r="AI15" s="122">
        <f t="shared" si="2"/>
        <v>797761.55</v>
      </c>
      <c r="AJ15" s="122">
        <f t="shared" si="2"/>
        <v>0</v>
      </c>
      <c r="AK15" s="122">
        <v>0</v>
      </c>
      <c r="AL15" s="122">
        <f t="shared" si="2"/>
        <v>0</v>
      </c>
      <c r="AM15" s="122">
        <f>AM17+AM18+AM19+AM20+AM21</f>
        <v>1003377.6100000001</v>
      </c>
      <c r="AN15" s="122">
        <f>AN17+AN18+AN19+AN20+AN21</f>
        <v>0</v>
      </c>
      <c r="AO15" s="122">
        <f>AO17+AO18+AO19+AO20+AO21</f>
        <v>0</v>
      </c>
      <c r="AP15" s="122">
        <f>AP17+AP18+AP19+AP20+AP21</f>
        <v>0</v>
      </c>
      <c r="AQ15" s="116">
        <f>AM15/AI15-1</f>
        <v>0.25774125112948854</v>
      </c>
      <c r="AR15" s="116" t="e">
        <f>AO15/AK15-1</f>
        <v>#DIV/0!</v>
      </c>
    </row>
    <row r="16" spans="1:44" x14ac:dyDescent="0.25">
      <c r="A16" s="113"/>
      <c r="B16" s="114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25"/>
      <c r="AB16" s="125"/>
      <c r="AC16" s="125"/>
      <c r="AD16" s="125"/>
      <c r="AE16" s="127"/>
      <c r="AF16" s="127"/>
      <c r="AG16" s="127"/>
      <c r="AH16" s="127"/>
      <c r="AI16" s="123"/>
      <c r="AJ16" s="123"/>
      <c r="AK16" s="123"/>
      <c r="AL16" s="123"/>
      <c r="AM16" s="123"/>
      <c r="AN16" s="123"/>
      <c r="AO16" s="123"/>
      <c r="AP16" s="123"/>
      <c r="AQ16" s="117"/>
      <c r="AR16" s="117"/>
    </row>
    <row r="17" spans="1:47" ht="30" customHeight="1" x14ac:dyDescent="0.25">
      <c r="A17" s="109" t="s">
        <v>11</v>
      </c>
      <c r="B17" s="110"/>
      <c r="C17" s="2"/>
      <c r="D17" s="2"/>
      <c r="E17" s="2">
        <v>35747.5</v>
      </c>
      <c r="F17" s="2"/>
      <c r="G17" s="2"/>
      <c r="H17" s="2"/>
      <c r="I17" s="2"/>
      <c r="J17" s="2"/>
      <c r="K17" s="2">
        <v>120756.41</v>
      </c>
      <c r="L17" s="2"/>
      <c r="M17" s="2">
        <v>144077.24</v>
      </c>
      <c r="N17" s="2"/>
      <c r="O17" s="2">
        <v>122267.09</v>
      </c>
      <c r="P17" s="2"/>
      <c r="Q17" s="2">
        <v>67770.240000000005</v>
      </c>
      <c r="R17" s="2"/>
      <c r="S17" s="2">
        <f>65281.19+2786.14</f>
        <v>68067.33</v>
      </c>
      <c r="T17" s="2"/>
      <c r="U17" s="2">
        <v>61711.68</v>
      </c>
      <c r="V17" s="2"/>
      <c r="W17" s="2"/>
      <c r="X17" s="2"/>
      <c r="Y17" s="2">
        <v>217.78</v>
      </c>
      <c r="Z17" s="2"/>
      <c r="AA17" s="16">
        <v>35</v>
      </c>
      <c r="AB17" s="16"/>
      <c r="AC17" s="16">
        <f>27611.35+117602.07</f>
        <v>145213.42000000001</v>
      </c>
      <c r="AD17" s="13"/>
      <c r="AE17" s="23">
        <f>56332.86+251324.18</f>
        <v>307657.03999999998</v>
      </c>
      <c r="AF17" s="13"/>
      <c r="AG17" s="23">
        <f>3600+90434.71</f>
        <v>94034.71</v>
      </c>
      <c r="AH17" s="23"/>
      <c r="AI17" s="16">
        <f>30567.15+190377.23</f>
        <v>220944.38</v>
      </c>
      <c r="AJ17" s="16"/>
      <c r="AK17" s="16"/>
      <c r="AL17" s="16"/>
      <c r="AM17" s="16">
        <f>25529.3+543205.29</f>
        <v>568734.59000000008</v>
      </c>
      <c r="AN17" s="16"/>
      <c r="AO17" s="16"/>
      <c r="AP17" s="16"/>
      <c r="AQ17" s="24"/>
      <c r="AR17" s="24"/>
    </row>
    <row r="18" spans="1:47" ht="15.75" customHeight="1" x14ac:dyDescent="0.25">
      <c r="A18" s="109" t="s">
        <v>8</v>
      </c>
      <c r="B18" s="1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6">
        <v>172262.37</v>
      </c>
      <c r="AB18" s="16"/>
      <c r="AC18" s="16">
        <v>188020.56</v>
      </c>
      <c r="AD18" s="13"/>
      <c r="AE18" s="23">
        <v>225161</v>
      </c>
      <c r="AF18" s="13"/>
      <c r="AG18" s="13"/>
      <c r="AH18" s="13"/>
      <c r="AI18" s="16">
        <v>372715</v>
      </c>
      <c r="AJ18" s="16"/>
      <c r="AK18" s="16"/>
      <c r="AL18" s="16"/>
      <c r="AM18" s="16">
        <f>256736.03</f>
        <v>256736.03</v>
      </c>
      <c r="AN18" s="16"/>
      <c r="AO18" s="16"/>
      <c r="AP18" s="16"/>
      <c r="AQ18" s="24"/>
      <c r="AR18" s="24"/>
    </row>
    <row r="19" spans="1:47" ht="28.5" customHeight="1" x14ac:dyDescent="0.25">
      <c r="A19" s="109" t="s">
        <v>9</v>
      </c>
      <c r="B19" s="1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6"/>
      <c r="AB19" s="16"/>
      <c r="AC19" s="13"/>
      <c r="AD19" s="13"/>
      <c r="AE19" s="23"/>
      <c r="AF19" s="13"/>
      <c r="AG19" s="13"/>
      <c r="AH19" s="13"/>
      <c r="AI19" s="16"/>
      <c r="AJ19" s="16"/>
      <c r="AK19" s="16"/>
      <c r="AL19" s="16"/>
      <c r="AM19" s="16"/>
      <c r="AN19" s="16"/>
      <c r="AO19" s="16"/>
      <c r="AP19" s="16"/>
      <c r="AQ19" s="24"/>
      <c r="AR19" s="24"/>
    </row>
    <row r="20" spans="1:47" ht="18" customHeight="1" x14ac:dyDescent="0.25">
      <c r="A20" s="109" t="s">
        <v>10</v>
      </c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13990</v>
      </c>
      <c r="R20" s="2"/>
      <c r="S20" s="2"/>
      <c r="T20" s="2"/>
      <c r="U20" s="2"/>
      <c r="V20" s="2"/>
      <c r="W20" s="2"/>
      <c r="X20" s="2"/>
      <c r="Y20" s="2"/>
      <c r="Z20" s="2"/>
      <c r="AA20" s="16">
        <v>15413</v>
      </c>
      <c r="AB20" s="16"/>
      <c r="AC20" s="13"/>
      <c r="AD20" s="13"/>
      <c r="AE20" s="23">
        <v>135141.48000000001</v>
      </c>
      <c r="AF20" s="13"/>
      <c r="AG20" s="13"/>
      <c r="AH20" s="13"/>
      <c r="AI20" s="16">
        <v>204102.17</v>
      </c>
      <c r="AJ20" s="16"/>
      <c r="AK20" s="16"/>
      <c r="AL20" s="16"/>
      <c r="AM20" s="16">
        <v>177906.99</v>
      </c>
      <c r="AN20" s="16"/>
      <c r="AO20" s="16"/>
      <c r="AP20" s="16"/>
      <c r="AQ20" s="24"/>
      <c r="AR20" s="24"/>
    </row>
    <row r="21" spans="1:47" ht="18.75" customHeight="1" x14ac:dyDescent="0.25">
      <c r="A21" s="109" t="s">
        <v>16</v>
      </c>
      <c r="B21" s="1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6"/>
      <c r="AB21" s="16"/>
      <c r="AC21" s="13"/>
      <c r="AD21" s="13"/>
      <c r="AE21" s="13"/>
      <c r="AF21" s="13"/>
      <c r="AG21" s="13"/>
      <c r="AH21" s="13"/>
      <c r="AI21" s="16"/>
      <c r="AJ21" s="16"/>
      <c r="AK21" s="16"/>
      <c r="AL21" s="16"/>
      <c r="AM21" s="13"/>
      <c r="AN21" s="13"/>
      <c r="AO21" s="13"/>
      <c r="AP21" s="13"/>
      <c r="AQ21" s="31"/>
      <c r="AR21" s="31"/>
    </row>
    <row r="22" spans="1:47" x14ac:dyDescent="0.25">
      <c r="A22" s="111" t="s">
        <v>2</v>
      </c>
      <c r="B22" s="112"/>
      <c r="C22" s="115">
        <v>54846675.530000001</v>
      </c>
      <c r="D22" s="115">
        <v>48940486.590000004</v>
      </c>
      <c r="E22" s="115">
        <f>SUM(E24:E28)</f>
        <v>64656891.350000001</v>
      </c>
      <c r="F22" s="115">
        <f>SUM(F24:F28)</f>
        <v>51440732.669999994</v>
      </c>
      <c r="G22" s="115">
        <f t="shared" ref="G22:AD22" si="3">SUM(G24:G28)</f>
        <v>69207433.140000001</v>
      </c>
      <c r="H22" s="115">
        <f t="shared" si="3"/>
        <v>50454846.649999999</v>
      </c>
      <c r="I22" s="115">
        <f t="shared" si="3"/>
        <v>70742852.230000004</v>
      </c>
      <c r="J22" s="115">
        <f t="shared" si="3"/>
        <v>55024116.890000001</v>
      </c>
      <c r="K22" s="115">
        <f t="shared" si="3"/>
        <v>70605066.099999994</v>
      </c>
      <c r="L22" s="115">
        <f t="shared" si="3"/>
        <v>57943952.730000004</v>
      </c>
      <c r="M22" s="115">
        <f t="shared" si="3"/>
        <v>73371785.549999997</v>
      </c>
      <c r="N22" s="115">
        <f t="shared" si="3"/>
        <v>57519633.82</v>
      </c>
      <c r="O22" s="115">
        <f t="shared" si="3"/>
        <v>69857012.25</v>
      </c>
      <c r="P22" s="115">
        <f t="shared" si="3"/>
        <v>65548817.789999999</v>
      </c>
      <c r="Q22" s="115">
        <f t="shared" si="3"/>
        <v>71509757.569999993</v>
      </c>
      <c r="R22" s="115">
        <f t="shared" si="3"/>
        <v>57862859.439999998</v>
      </c>
      <c r="S22" s="115">
        <f t="shared" si="3"/>
        <v>71486946.959999993</v>
      </c>
      <c r="T22" s="115">
        <f t="shared" si="3"/>
        <v>57789918.439999998</v>
      </c>
      <c r="U22" s="115">
        <f t="shared" si="3"/>
        <v>70592079.479999989</v>
      </c>
      <c r="V22" s="115">
        <f t="shared" si="3"/>
        <v>61579945.239999995</v>
      </c>
      <c r="W22" s="115">
        <f t="shared" si="3"/>
        <v>66866461.460000001</v>
      </c>
      <c r="X22" s="115">
        <f t="shared" si="3"/>
        <v>57735277.960000001</v>
      </c>
      <c r="Y22" s="115">
        <f t="shared" si="3"/>
        <v>103038065.23999999</v>
      </c>
      <c r="Z22" s="115">
        <f t="shared" si="3"/>
        <v>90836160.789999992</v>
      </c>
      <c r="AA22" s="128">
        <f t="shared" si="3"/>
        <v>56387437.119999997</v>
      </c>
      <c r="AB22" s="128">
        <f t="shared" si="3"/>
        <v>15533763.189999999</v>
      </c>
      <c r="AC22" s="128">
        <f t="shared" si="3"/>
        <v>119943838.53</v>
      </c>
      <c r="AD22" s="128">
        <f t="shared" si="3"/>
        <v>72448338.349999994</v>
      </c>
      <c r="AE22" s="126">
        <f t="shared" ref="AE22:AL22" si="4">AE24+AE25+AE26+AE27+AE28</f>
        <v>98597337.969999999</v>
      </c>
      <c r="AF22" s="126">
        <f t="shared" si="4"/>
        <v>28249113.57</v>
      </c>
      <c r="AG22" s="126">
        <f t="shared" si="4"/>
        <v>52538002.529999994</v>
      </c>
      <c r="AH22" s="126">
        <f t="shared" si="4"/>
        <v>0</v>
      </c>
      <c r="AI22" s="122">
        <f t="shared" si="4"/>
        <v>63217359.389999993</v>
      </c>
      <c r="AJ22" s="122">
        <f t="shared" si="4"/>
        <v>27862807.449999999</v>
      </c>
      <c r="AK22" s="122">
        <f t="shared" si="4"/>
        <v>9411597.2899999991</v>
      </c>
      <c r="AL22" s="122">
        <f t="shared" si="4"/>
        <v>0</v>
      </c>
      <c r="AM22" s="122">
        <f>AM24+AM25+AM26+AM27+AM28</f>
        <v>68113928.959999993</v>
      </c>
      <c r="AN22" s="122">
        <f>AN24+AN25+AN26+AN27+AN28</f>
        <v>35916627.490000002</v>
      </c>
      <c r="AO22" s="122">
        <f>AO24+AO25+AO26+AO27+AO28</f>
        <v>8978092.7800000012</v>
      </c>
      <c r="AP22" s="122">
        <f>AP24+AP25+AP26+AP27+AP28</f>
        <v>0</v>
      </c>
      <c r="AQ22" s="116">
        <f>AM22/AI22-1</f>
        <v>7.7456091447795528E-2</v>
      </c>
      <c r="AR22" s="116">
        <f>AO22/AK22-1</f>
        <v>-4.6060673511881367E-2</v>
      </c>
    </row>
    <row r="23" spans="1:47" ht="12" customHeight="1" x14ac:dyDescent="0.25">
      <c r="A23" s="113"/>
      <c r="B23" s="11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25"/>
      <c r="AB23" s="125"/>
      <c r="AC23" s="125"/>
      <c r="AD23" s="125"/>
      <c r="AE23" s="127"/>
      <c r="AF23" s="127"/>
      <c r="AG23" s="127"/>
      <c r="AH23" s="127"/>
      <c r="AI23" s="123"/>
      <c r="AJ23" s="123"/>
      <c r="AK23" s="123"/>
      <c r="AL23" s="123"/>
      <c r="AM23" s="123"/>
      <c r="AN23" s="123"/>
      <c r="AO23" s="123"/>
      <c r="AP23" s="123"/>
      <c r="AQ23" s="117"/>
      <c r="AR23" s="117"/>
    </row>
    <row r="24" spans="1:47" ht="43.5" customHeight="1" x14ac:dyDescent="0.25">
      <c r="A24" s="109" t="s">
        <v>11</v>
      </c>
      <c r="B24" s="110"/>
      <c r="C24" s="2"/>
      <c r="D24" s="2"/>
      <c r="E24" s="2">
        <v>10110055.9</v>
      </c>
      <c r="F24" s="2">
        <f>51442088.62-49312861.59</f>
        <v>2129227.0299999937</v>
      </c>
      <c r="G24" s="2">
        <v>10146692.35</v>
      </c>
      <c r="H24" s="2">
        <v>2129227.0299999998</v>
      </c>
      <c r="I24" s="2">
        <v>14616479.76</v>
      </c>
      <c r="J24" s="2">
        <v>2129227.0299999998</v>
      </c>
      <c r="K24" s="2">
        <v>7843217.96</v>
      </c>
      <c r="L24" s="2">
        <v>2129227.0299999998</v>
      </c>
      <c r="M24" s="2">
        <v>7533070</v>
      </c>
      <c r="N24" s="2">
        <v>2129227.0299999998</v>
      </c>
      <c r="O24" s="2">
        <v>6652443.1100000003</v>
      </c>
      <c r="P24" s="2">
        <v>2344248.65</v>
      </c>
      <c r="Q24" s="2">
        <f>8677372.77+42645.25</f>
        <v>8720018.0199999996</v>
      </c>
      <c r="R24" s="2">
        <f>2344248.65</f>
        <v>2344248.65</v>
      </c>
      <c r="S24" s="2">
        <f>69747.65+9218096.72</f>
        <v>9287844.370000001</v>
      </c>
      <c r="T24" s="2">
        <v>2271307.65</v>
      </c>
      <c r="U24" s="2">
        <f>94170.06+10964271.83</f>
        <v>11058441.890000001</v>
      </c>
      <c r="V24" s="2">
        <f>2046307.65</f>
        <v>2046307.65</v>
      </c>
      <c r="W24" s="2">
        <f>11194823.81+98358.34</f>
        <v>11293182.15</v>
      </c>
      <c r="X24" s="2">
        <f>2161998.65</f>
        <v>2161998.65</v>
      </c>
      <c r="Y24" s="2">
        <v>13594212.15</v>
      </c>
      <c r="Z24" s="2">
        <v>4751435.4800000004</v>
      </c>
      <c r="AA24" s="16">
        <f>77325.12+12375433.35</f>
        <v>12452758.469999999</v>
      </c>
      <c r="AB24" s="16">
        <v>1634678.03</v>
      </c>
      <c r="AC24" s="16">
        <f>263374.33+25371454.14</f>
        <v>25634828.469999999</v>
      </c>
      <c r="AD24" s="16">
        <v>7111498.0199999996</v>
      </c>
      <c r="AE24" s="23">
        <f>361338.29+22200823.79</f>
        <v>22562162.079999998</v>
      </c>
      <c r="AF24" s="23">
        <v>1203080.3799999999</v>
      </c>
      <c r="AG24" s="23">
        <f>223320.42+7979287.52</f>
        <v>8202607.9399999995</v>
      </c>
      <c r="AH24" s="13"/>
      <c r="AI24" s="16">
        <f>58898.5+5757823.28+84105.04+8232493.31</f>
        <v>14133320.129999999</v>
      </c>
      <c r="AJ24" s="16">
        <f>58898.5+84105.04</f>
        <v>143003.53999999998</v>
      </c>
      <c r="AK24" s="16">
        <v>1077110.1399999999</v>
      </c>
      <c r="AL24" s="16"/>
      <c r="AM24" s="16">
        <f>127824.94+5630657.92+349417.98+5640090.93</f>
        <v>11747991.77</v>
      </c>
      <c r="AN24" s="16">
        <f>127824.94+349417.98</f>
        <v>477242.92</v>
      </c>
      <c r="AO24" s="16">
        <v>220343.81</v>
      </c>
      <c r="AP24" s="16"/>
      <c r="AQ24" s="24"/>
      <c r="AR24" s="24"/>
      <c r="AU24" s="30"/>
    </row>
    <row r="25" spans="1:47" ht="18" customHeight="1" x14ac:dyDescent="0.25">
      <c r="A25" s="109" t="s">
        <v>8</v>
      </c>
      <c r="B25" s="1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>
        <f>774524.11+20097533.72</f>
        <v>20872057.829999998</v>
      </c>
      <c r="AB25" s="16"/>
      <c r="AC25" s="16">
        <f>815882.11+24539657.77</f>
        <v>25355539.879999999</v>
      </c>
      <c r="AD25" s="16"/>
      <c r="AE25" s="23">
        <f>826423.25+23317982.32</f>
        <v>24144405.57</v>
      </c>
      <c r="AF25" s="23">
        <v>16922780.550000001</v>
      </c>
      <c r="AG25" s="23"/>
      <c r="AH25" s="13"/>
      <c r="AI25" s="16">
        <f>6636427.13+2761581.99+10175763.76+5190667.21</f>
        <v>24764440.090000004</v>
      </c>
      <c r="AJ25" s="16">
        <f>6636427.13+10175763.76</f>
        <v>16812190.890000001</v>
      </c>
      <c r="AK25" s="16"/>
      <c r="AL25" s="16"/>
      <c r="AM25" s="16">
        <f>7568620.07+3114243.31+11686318.33+4204485.65</f>
        <v>26573667.359999999</v>
      </c>
      <c r="AN25" s="16">
        <f>7568620.07+11686318.33</f>
        <v>19254938.399999999</v>
      </c>
      <c r="AO25" s="16"/>
      <c r="AP25" s="16"/>
      <c r="AQ25" s="24"/>
      <c r="AR25" s="24"/>
    </row>
    <row r="26" spans="1:47" ht="44.25" customHeight="1" x14ac:dyDescent="0.25">
      <c r="A26" s="109" t="s">
        <v>9</v>
      </c>
      <c r="B26" s="110"/>
      <c r="C26" s="2"/>
      <c r="D26" s="2"/>
      <c r="E26" s="2">
        <v>4317281.3899999997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3356790.95</v>
      </c>
      <c r="Z26" s="2"/>
      <c r="AA26" s="16">
        <f>511757.59+6814505.62</f>
        <v>7326263.21</v>
      </c>
      <c r="AB26" s="16"/>
      <c r="AC26" s="16">
        <f>484038.54+11956133.92</f>
        <v>12440172.459999999</v>
      </c>
      <c r="AD26" s="16">
        <v>10626588</v>
      </c>
      <c r="AE26" s="23">
        <f>871920.5+16450579.56</f>
        <v>17322500.060000002</v>
      </c>
      <c r="AF26" s="23">
        <v>10123252.640000001</v>
      </c>
      <c r="AG26" s="23">
        <f>353493.68+11501508.54</f>
        <v>11855002.219999999</v>
      </c>
      <c r="AH26" s="13"/>
      <c r="AI26" s="16">
        <f>4846101.83+2549979.72+3834472.6+2522828.53</f>
        <v>13753382.68</v>
      </c>
      <c r="AJ26" s="16">
        <f>4846101.83+3834472.6</f>
        <v>8680574.4299999997</v>
      </c>
      <c r="AK26" s="16"/>
      <c r="AL26" s="16"/>
      <c r="AM26" s="16">
        <f>4621009.78+1666380.97+8559462.23+3183693.72</f>
        <v>18030546.699999999</v>
      </c>
      <c r="AN26" s="16">
        <f>4621009.78+8559462.23</f>
        <v>13180472.010000002</v>
      </c>
      <c r="AO26" s="16"/>
      <c r="AP26" s="16"/>
      <c r="AQ26" s="24"/>
      <c r="AR26" s="24"/>
    </row>
    <row r="27" spans="1:47" ht="16.899999999999999" customHeight="1" x14ac:dyDescent="0.25">
      <c r="A27" s="109" t="s">
        <v>10</v>
      </c>
      <c r="B27" s="110"/>
      <c r="C27" s="2"/>
      <c r="D27" s="2"/>
      <c r="E27" s="2">
        <v>50229554.060000002</v>
      </c>
      <c r="F27" s="2">
        <v>49311505.640000001</v>
      </c>
      <c r="G27" s="2">
        <f>54914409.14+4146331.65</f>
        <v>59060740.789999999</v>
      </c>
      <c r="H27" s="2">
        <f>4092516+44233103.62</f>
        <v>48325619.619999997</v>
      </c>
      <c r="I27" s="2">
        <f>4125519+52000853.47</f>
        <v>56126372.469999999</v>
      </c>
      <c r="J27" s="2">
        <f>4092516+48802373.86</f>
        <v>52894889.859999999</v>
      </c>
      <c r="K27" s="2">
        <f>4106722+58655126.14</f>
        <v>62761848.140000001</v>
      </c>
      <c r="L27" s="2">
        <f>4092516+51722209.7</f>
        <v>55814725.700000003</v>
      </c>
      <c r="M27" s="2">
        <f>3726327.65+62112387.9</f>
        <v>65838715.549999997</v>
      </c>
      <c r="N27" s="2">
        <f>51679075.14+3711331.65</f>
        <v>55390406.789999999</v>
      </c>
      <c r="O27" s="2">
        <f>3292052+59912517.14</f>
        <v>63204569.140000001</v>
      </c>
      <c r="P27" s="2">
        <f>3292052+59912517.14</f>
        <v>63204569.140000001</v>
      </c>
      <c r="Q27" s="2">
        <f>59493077.9+3296661.65</f>
        <v>62789739.549999997</v>
      </c>
      <c r="R27" s="2">
        <f>3296661.65+52221949.14</f>
        <v>55518610.789999999</v>
      </c>
      <c r="S27" s="2">
        <f>58887656.94+3311445.65</f>
        <v>62199102.589999996</v>
      </c>
      <c r="T27" s="2">
        <f>3296661.65+52221949.14</f>
        <v>55518610.789999999</v>
      </c>
      <c r="U27" s="2">
        <f>56222191.94+3311445.65</f>
        <v>59533637.589999996</v>
      </c>
      <c r="V27" s="2">
        <f>3311445.65+56222191.94</f>
        <v>59533637.589999996</v>
      </c>
      <c r="W27" s="2">
        <f>1281078.35+54292200.96</f>
        <v>55573279.310000002</v>
      </c>
      <c r="X27" s="2">
        <f>54292200.96+1281078.35</f>
        <v>55573279.310000002</v>
      </c>
      <c r="Y27" s="2">
        <v>55305512.479999997</v>
      </c>
      <c r="Z27" s="2">
        <v>55305512.479999997</v>
      </c>
      <c r="AA27" s="16">
        <v>12430432.640000001</v>
      </c>
      <c r="AB27" s="16">
        <v>12430432.640000001</v>
      </c>
      <c r="AC27" s="16">
        <v>19001954.52</v>
      </c>
      <c r="AD27" s="16">
        <v>19001954.52</v>
      </c>
      <c r="AE27" s="23">
        <f>8958+7347927.08</f>
        <v>7356885.0800000001</v>
      </c>
      <c r="AF27" s="13"/>
      <c r="AG27" s="23">
        <f>8958+6907494.08</f>
        <v>6916452.0800000001</v>
      </c>
      <c r="AH27" s="13"/>
      <c r="AI27" s="16">
        <f>2101880.84+3050643.64</f>
        <v>5152524.4800000004</v>
      </c>
      <c r="AJ27" s="16"/>
      <c r="AK27" s="16">
        <f>2101856.09+3050642.64</f>
        <v>5152498.7300000004</v>
      </c>
      <c r="AL27" s="16"/>
      <c r="AM27" s="16">
        <f>3590255.32+5167493.65</f>
        <v>8757748.9700000007</v>
      </c>
      <c r="AN27" s="16"/>
      <c r="AO27" s="16">
        <f>3590255.32+5167493.65</f>
        <v>8757748.9700000007</v>
      </c>
      <c r="AP27" s="16"/>
      <c r="AQ27" s="24" t="s">
        <v>42</v>
      </c>
      <c r="AR27" s="24"/>
    </row>
    <row r="28" spans="1:47" ht="31.5" customHeight="1" x14ac:dyDescent="0.25">
      <c r="A28" s="109" t="s">
        <v>16</v>
      </c>
      <c r="B28" s="1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30781549.66</v>
      </c>
      <c r="Z28" s="2">
        <v>30779212.829999998</v>
      </c>
      <c r="AA28" s="16">
        <f>3305399.51+525.46</f>
        <v>3305924.9699999997</v>
      </c>
      <c r="AB28" s="16">
        <v>1468652.52</v>
      </c>
      <c r="AC28" s="16">
        <f>37418429.35+92913.85</f>
        <v>37511343.200000003</v>
      </c>
      <c r="AD28" s="16">
        <v>35708297.810000002</v>
      </c>
      <c r="AE28" s="23">
        <f>27144292.69+67092.49</f>
        <v>27211385.18</v>
      </c>
      <c r="AF28" s="13"/>
      <c r="AG28" s="23">
        <v>25563940.289999999</v>
      </c>
      <c r="AH28" s="13"/>
      <c r="AI28" s="16">
        <f>5363159.41+45867.6+4665</f>
        <v>5413692.0099999998</v>
      </c>
      <c r="AJ28" s="16">
        <f>45867.6+2181170.99</f>
        <v>2227038.5900000003</v>
      </c>
      <c r="AK28" s="16">
        <v>3181988.42</v>
      </c>
      <c r="AL28" s="16"/>
      <c r="AM28" s="16">
        <v>3003974.16</v>
      </c>
      <c r="AN28" s="16">
        <v>3003974.16</v>
      </c>
      <c r="AO28" s="16"/>
      <c r="AP28" s="16"/>
      <c r="AQ28" s="24"/>
      <c r="AR28" s="24"/>
    </row>
    <row r="29" spans="1:47" x14ac:dyDescent="0.25">
      <c r="A29" s="111" t="s">
        <v>3</v>
      </c>
      <c r="B29" s="112"/>
      <c r="C29" s="115">
        <v>-7680.14</v>
      </c>
      <c r="D29" s="115">
        <f>SUM(D31:D35)</f>
        <v>0</v>
      </c>
      <c r="E29" s="115">
        <f t="shared" ref="E29:AD29" si="5">SUM(E31:E35)</f>
        <v>0</v>
      </c>
      <c r="F29" s="115">
        <f t="shared" si="5"/>
        <v>0</v>
      </c>
      <c r="G29" s="115">
        <f t="shared" si="5"/>
        <v>114426.95</v>
      </c>
      <c r="H29" s="115">
        <f t="shared" si="5"/>
        <v>0</v>
      </c>
      <c r="I29" s="115">
        <f t="shared" si="5"/>
        <v>88290.77</v>
      </c>
      <c r="J29" s="115">
        <f t="shared" si="5"/>
        <v>0</v>
      </c>
      <c r="K29" s="115">
        <f t="shared" si="5"/>
        <v>51440.42</v>
      </c>
      <c r="L29" s="115">
        <f t="shared" si="5"/>
        <v>0</v>
      </c>
      <c r="M29" s="115">
        <f t="shared" si="5"/>
        <v>169857.58</v>
      </c>
      <c r="N29" s="115">
        <f t="shared" si="5"/>
        <v>0</v>
      </c>
      <c r="O29" s="115">
        <f t="shared" si="5"/>
        <v>77731.77</v>
      </c>
      <c r="P29" s="115">
        <f t="shared" si="5"/>
        <v>0</v>
      </c>
      <c r="Q29" s="115">
        <f t="shared" si="5"/>
        <v>55035.07</v>
      </c>
      <c r="R29" s="115">
        <f t="shared" si="5"/>
        <v>0</v>
      </c>
      <c r="S29" s="115">
        <f t="shared" si="5"/>
        <v>80513.679999999993</v>
      </c>
      <c r="T29" s="115">
        <f t="shared" si="5"/>
        <v>0</v>
      </c>
      <c r="U29" s="115">
        <f t="shared" si="5"/>
        <v>77945.259999999995</v>
      </c>
      <c r="V29" s="115">
        <f t="shared" si="5"/>
        <v>0</v>
      </c>
      <c r="W29" s="115">
        <f t="shared" si="5"/>
        <v>84064.9</v>
      </c>
      <c r="X29" s="115">
        <f t="shared" si="5"/>
        <v>0</v>
      </c>
      <c r="Y29" s="115">
        <f t="shared" si="5"/>
        <v>0</v>
      </c>
      <c r="Z29" s="115">
        <f t="shared" si="5"/>
        <v>0</v>
      </c>
      <c r="AA29" s="128">
        <f t="shared" si="5"/>
        <v>663721.94999999995</v>
      </c>
      <c r="AB29" s="128">
        <f t="shared" si="5"/>
        <v>0</v>
      </c>
      <c r="AC29" s="128">
        <f t="shared" si="5"/>
        <v>856387.40999999992</v>
      </c>
      <c r="AD29" s="128">
        <f t="shared" si="5"/>
        <v>0</v>
      </c>
      <c r="AE29" s="126">
        <f t="shared" ref="AE29:AL29" si="6">AE31+AE32+AE33+AE34+AE35</f>
        <v>807619</v>
      </c>
      <c r="AF29" s="126">
        <f t="shared" si="6"/>
        <v>0</v>
      </c>
      <c r="AG29" s="126">
        <f t="shared" si="6"/>
        <v>0</v>
      </c>
      <c r="AH29" s="126">
        <f t="shared" si="6"/>
        <v>0</v>
      </c>
      <c r="AI29" s="122">
        <f t="shared" si="6"/>
        <v>1745805.9500000002</v>
      </c>
      <c r="AJ29" s="122">
        <f t="shared" si="6"/>
        <v>0</v>
      </c>
      <c r="AK29" s="122">
        <v>0</v>
      </c>
      <c r="AL29" s="122">
        <f t="shared" si="6"/>
        <v>0</v>
      </c>
      <c r="AM29" s="122">
        <f>AM31+AM32+AM33+AM34+AM35</f>
        <v>1238288.33</v>
      </c>
      <c r="AN29" s="122">
        <f>AN31+AN32+AN33+AN34+AN35</f>
        <v>0</v>
      </c>
      <c r="AO29" s="122">
        <f>AO31+AO32+AO33+AO34+AO35</f>
        <v>0</v>
      </c>
      <c r="AP29" s="122">
        <f>AP31+AP32+AP33+AP34+AP35</f>
        <v>0</v>
      </c>
      <c r="AQ29" s="116">
        <f>AM29/AI29-1</f>
        <v>-0.29070677643182508</v>
      </c>
      <c r="AR29" s="116" t="e">
        <f>AO29/AK29-1</f>
        <v>#DIV/0!</v>
      </c>
    </row>
    <row r="30" spans="1:47" x14ac:dyDescent="0.25">
      <c r="A30" s="113"/>
      <c r="B30" s="11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5"/>
      <c r="AB30" s="125"/>
      <c r="AC30" s="125"/>
      <c r="AD30" s="125"/>
      <c r="AE30" s="127"/>
      <c r="AF30" s="127"/>
      <c r="AG30" s="127"/>
      <c r="AH30" s="127"/>
      <c r="AI30" s="123"/>
      <c r="AJ30" s="123"/>
      <c r="AK30" s="123"/>
      <c r="AL30" s="123"/>
      <c r="AM30" s="123"/>
      <c r="AN30" s="123"/>
      <c r="AO30" s="123"/>
      <c r="AP30" s="123"/>
      <c r="AQ30" s="117"/>
      <c r="AR30" s="117"/>
    </row>
    <row r="31" spans="1:47" ht="43.5" customHeight="1" x14ac:dyDescent="0.25">
      <c r="A31" s="109" t="s">
        <v>11</v>
      </c>
      <c r="B31" s="110"/>
      <c r="C31" s="2">
        <v>0</v>
      </c>
      <c r="D31" s="2"/>
      <c r="E31" s="2">
        <v>0</v>
      </c>
      <c r="F31" s="2"/>
      <c r="G31" s="2">
        <v>114426.95</v>
      </c>
      <c r="H31" s="2"/>
      <c r="I31" s="2">
        <v>88290.77</v>
      </c>
      <c r="J31" s="2"/>
      <c r="K31" s="2">
        <v>51440.42</v>
      </c>
      <c r="L31" s="2"/>
      <c r="M31" s="2">
        <v>169857.58</v>
      </c>
      <c r="N31" s="2"/>
      <c r="O31" s="2">
        <v>77731.77</v>
      </c>
      <c r="P31" s="2"/>
      <c r="Q31" s="2">
        <v>55035.07</v>
      </c>
      <c r="R31" s="2"/>
      <c r="S31" s="2">
        <v>80513.679999999993</v>
      </c>
      <c r="T31" s="2"/>
      <c r="U31" s="2">
        <v>77945.259999999995</v>
      </c>
      <c r="V31" s="2"/>
      <c r="W31" s="2">
        <v>84064.9</v>
      </c>
      <c r="X31" s="2"/>
      <c r="Y31" s="2"/>
      <c r="Z31" s="2"/>
      <c r="AA31" s="16">
        <v>4839.6099999999997</v>
      </c>
      <c r="AB31" s="16"/>
      <c r="AC31" s="16">
        <v>85242.16</v>
      </c>
      <c r="AD31" s="13"/>
      <c r="AE31" s="23">
        <v>172973.85</v>
      </c>
      <c r="AF31" s="23"/>
      <c r="AG31" s="23"/>
      <c r="AH31" s="23"/>
      <c r="AI31" s="16">
        <f>72200.43+5275.44</f>
        <v>77475.87</v>
      </c>
      <c r="AJ31" s="16"/>
      <c r="AK31" s="16"/>
      <c r="AL31" s="16"/>
      <c r="AM31" s="16">
        <f>177097.23+8172.08</f>
        <v>185269.31</v>
      </c>
      <c r="AN31" s="16"/>
      <c r="AO31" s="16"/>
      <c r="AP31" s="16"/>
      <c r="AQ31" s="24"/>
      <c r="AR31" s="24"/>
    </row>
    <row r="32" spans="1:47" ht="18.600000000000001" customHeight="1" x14ac:dyDescent="0.25">
      <c r="A32" s="109" t="s">
        <v>8</v>
      </c>
      <c r="B32" s="1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>
        <v>446550.73</v>
      </c>
      <c r="AB32" s="16"/>
      <c r="AC32" s="16">
        <v>451706.16</v>
      </c>
      <c r="AD32" s="13"/>
      <c r="AE32" s="23">
        <v>291019.77</v>
      </c>
      <c r="AF32" s="23"/>
      <c r="AG32" s="23"/>
      <c r="AH32" s="23"/>
      <c r="AI32" s="16">
        <f>696234.36+399212.22</f>
        <v>1095446.58</v>
      </c>
      <c r="AJ32" s="16"/>
      <c r="AK32" s="16"/>
      <c r="AL32" s="16"/>
      <c r="AM32" s="16">
        <f>313130.77+245122.25</f>
        <v>558253.02</v>
      </c>
      <c r="AN32" s="16"/>
      <c r="AO32" s="16"/>
      <c r="AP32" s="16"/>
      <c r="AQ32" s="24"/>
      <c r="AR32" s="24"/>
    </row>
    <row r="33" spans="1:44" x14ac:dyDescent="0.25">
      <c r="A33" s="109" t="s">
        <v>9</v>
      </c>
      <c r="B33" s="110"/>
      <c r="C33" s="2">
        <v>0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23"/>
      <c r="AC33" s="16"/>
      <c r="AD33" s="13"/>
      <c r="AE33" s="23"/>
      <c r="AF33" s="23"/>
      <c r="AG33" s="23"/>
      <c r="AH33" s="23"/>
      <c r="AI33" s="16"/>
      <c r="AJ33" s="16"/>
      <c r="AK33" s="16"/>
      <c r="AL33" s="16"/>
      <c r="AM33" s="16"/>
      <c r="AN33" s="16"/>
      <c r="AO33" s="16"/>
      <c r="AP33" s="16"/>
      <c r="AQ33" s="24"/>
      <c r="AR33" s="24"/>
    </row>
    <row r="34" spans="1:44" x14ac:dyDescent="0.25">
      <c r="A34" s="109" t="s">
        <v>10</v>
      </c>
      <c r="B34" s="1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>
        <v>212331.61</v>
      </c>
      <c r="AB34" s="16"/>
      <c r="AC34" s="16">
        <v>319439.09000000003</v>
      </c>
      <c r="AD34" s="13"/>
      <c r="AE34" s="23">
        <v>343625.38</v>
      </c>
      <c r="AF34" s="23"/>
      <c r="AG34" s="23"/>
      <c r="AH34" s="23"/>
      <c r="AI34" s="16">
        <f>340695.57+232187.93</f>
        <v>572883.5</v>
      </c>
      <c r="AJ34" s="16"/>
      <c r="AK34" s="16"/>
      <c r="AL34" s="16"/>
      <c r="AM34" s="16">
        <f>315769.87+178996.13</f>
        <v>494766</v>
      </c>
      <c r="AN34" s="16"/>
      <c r="AO34" s="16"/>
      <c r="AP34" s="16"/>
      <c r="AQ34" s="24"/>
      <c r="AR34" s="24"/>
    </row>
    <row r="35" spans="1:44" x14ac:dyDescent="0.25">
      <c r="A35" s="109" t="s">
        <v>16</v>
      </c>
      <c r="B35" s="1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/>
      <c r="AB35" s="13"/>
      <c r="AC35" s="13"/>
      <c r="AD35" s="13"/>
      <c r="AE35" s="13"/>
      <c r="AF35" s="13"/>
      <c r="AG35" s="13"/>
      <c r="AH35" s="13"/>
      <c r="AI35" s="16"/>
      <c r="AJ35" s="16"/>
      <c r="AK35" s="16"/>
      <c r="AL35" s="16"/>
      <c r="AM35" s="16"/>
      <c r="AN35" s="16"/>
      <c r="AO35" s="16"/>
      <c r="AP35" s="16"/>
      <c r="AQ35" s="24"/>
      <c r="AR35" s="24"/>
    </row>
    <row r="36" spans="1:44" x14ac:dyDescent="0.25">
      <c r="A36" s="111" t="s">
        <v>19</v>
      </c>
      <c r="B36" s="112"/>
      <c r="C36" s="115">
        <v>24738.76</v>
      </c>
      <c r="D36" s="115">
        <f t="shared" ref="D36:Z36" si="7">SUM(D38:D42)</f>
        <v>0</v>
      </c>
      <c r="E36" s="115">
        <f t="shared" si="7"/>
        <v>162585.41</v>
      </c>
      <c r="F36" s="115">
        <f t="shared" si="7"/>
        <v>0</v>
      </c>
      <c r="G36" s="115">
        <f t="shared" si="7"/>
        <v>2836261.8599999994</v>
      </c>
      <c r="H36" s="115">
        <f t="shared" si="7"/>
        <v>179639.45</v>
      </c>
      <c r="I36" s="115">
        <f t="shared" si="7"/>
        <v>2968161.5</v>
      </c>
      <c r="J36" s="115">
        <f t="shared" si="7"/>
        <v>179639.45</v>
      </c>
      <c r="K36" s="115">
        <f t="shared" si="7"/>
        <v>3579888.6599999997</v>
      </c>
      <c r="L36" s="115">
        <f t="shared" si="7"/>
        <v>179639.45</v>
      </c>
      <c r="M36" s="115">
        <f t="shared" si="7"/>
        <v>2288254.44</v>
      </c>
      <c r="N36" s="115">
        <f t="shared" si="7"/>
        <v>179639.45</v>
      </c>
      <c r="O36" s="115">
        <f t="shared" si="7"/>
        <v>2699902.61</v>
      </c>
      <c r="P36" s="115">
        <f t="shared" si="7"/>
        <v>179639.45</v>
      </c>
      <c r="Q36" s="115">
        <f t="shared" si="7"/>
        <v>2782603.59</v>
      </c>
      <c r="R36" s="115">
        <f t="shared" si="7"/>
        <v>179639.45</v>
      </c>
      <c r="S36" s="115">
        <f t="shared" si="7"/>
        <v>2615855.7999999998</v>
      </c>
      <c r="T36" s="115">
        <f t="shared" si="7"/>
        <v>179639.45</v>
      </c>
      <c r="U36" s="115">
        <f t="shared" si="7"/>
        <v>2483055.5499999998</v>
      </c>
      <c r="V36" s="115">
        <f t="shared" si="7"/>
        <v>142806.04</v>
      </c>
      <c r="W36" s="115">
        <f t="shared" si="7"/>
        <v>2680559.16</v>
      </c>
      <c r="X36" s="115">
        <f t="shared" si="7"/>
        <v>142806.04</v>
      </c>
      <c r="Y36" s="115">
        <f t="shared" si="7"/>
        <v>79878.12999999999</v>
      </c>
      <c r="Z36" s="115">
        <f t="shared" si="7"/>
        <v>0</v>
      </c>
      <c r="AA36" s="128">
        <f>SUM(AA38:AA42)</f>
        <v>2592606.9299999997</v>
      </c>
      <c r="AB36" s="128">
        <f>SUM(AB38:AB42)</f>
        <v>0</v>
      </c>
      <c r="AC36" s="128">
        <f>SUM(AC38:AC42)</f>
        <v>4410926.9800000004</v>
      </c>
      <c r="AD36" s="128">
        <f>SUM(AD38:AD42)</f>
        <v>1508980.59</v>
      </c>
      <c r="AE36" s="126">
        <f t="shared" ref="AE36:AJ36" si="8">AE38+AE39+AE40+AE41+AE42</f>
        <v>6043790.8399999999</v>
      </c>
      <c r="AF36" s="126">
        <f t="shared" si="8"/>
        <v>5996669.2400000002</v>
      </c>
      <c r="AG36" s="126">
        <f t="shared" si="8"/>
        <v>1880593.8800000001</v>
      </c>
      <c r="AH36" s="126">
        <f t="shared" si="8"/>
        <v>1880593.88</v>
      </c>
      <c r="AI36" s="122">
        <f t="shared" si="8"/>
        <v>4401686.4800000004</v>
      </c>
      <c r="AJ36" s="122">
        <f t="shared" si="8"/>
        <v>4300435.1999999993</v>
      </c>
      <c r="AK36" s="122">
        <v>0</v>
      </c>
      <c r="AL36" s="122">
        <v>0</v>
      </c>
      <c r="AM36" s="122">
        <f>AM38+AM39+AM40+AM41+AM42</f>
        <v>6116661.2199999997</v>
      </c>
      <c r="AN36" s="122">
        <f>AN38+AN39+AN40+AN41+AN42</f>
        <v>6050707.4499999993</v>
      </c>
      <c r="AO36" s="122">
        <f>AO38+AO39+AO40+AO41+AO42</f>
        <v>0</v>
      </c>
      <c r="AP36" s="122">
        <f>AP38+AP39+AP40+AP41+AP42</f>
        <v>0</v>
      </c>
      <c r="AQ36" s="116">
        <f>AM36/AI36-1</f>
        <v>0.38961764946057653</v>
      </c>
      <c r="AR36" s="116" t="e">
        <f>AO36/AK36-1</f>
        <v>#DIV/0!</v>
      </c>
    </row>
    <row r="37" spans="1:44" x14ac:dyDescent="0.25">
      <c r="A37" s="113"/>
      <c r="B37" s="11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5"/>
      <c r="AB37" s="125"/>
      <c r="AC37" s="125"/>
      <c r="AD37" s="125"/>
      <c r="AE37" s="127"/>
      <c r="AF37" s="127"/>
      <c r="AG37" s="127"/>
      <c r="AH37" s="127"/>
      <c r="AI37" s="123"/>
      <c r="AJ37" s="123"/>
      <c r="AK37" s="123"/>
      <c r="AL37" s="123"/>
      <c r="AM37" s="123"/>
      <c r="AN37" s="123"/>
      <c r="AO37" s="123"/>
      <c r="AP37" s="123"/>
      <c r="AQ37" s="117"/>
      <c r="AR37" s="117"/>
    </row>
    <row r="38" spans="1:44" x14ac:dyDescent="0.25">
      <c r="A38" s="109" t="s">
        <v>11</v>
      </c>
      <c r="B38" s="110"/>
      <c r="C38" s="2"/>
      <c r="D38" s="2"/>
      <c r="E38" s="2">
        <v>162585.41</v>
      </c>
      <c r="F38" s="2"/>
      <c r="G38" s="2">
        <f>410855.69+138863.03</f>
        <v>549718.72</v>
      </c>
      <c r="H38" s="2">
        <v>179639.45</v>
      </c>
      <c r="I38" s="2">
        <f>349786.74+482870.23</f>
        <v>832656.97</v>
      </c>
      <c r="J38" s="2">
        <v>179639.45</v>
      </c>
      <c r="K38" s="2">
        <f>325550.4+256894.84</f>
        <v>582445.24</v>
      </c>
      <c r="L38" s="2">
        <v>179639.45</v>
      </c>
      <c r="M38" s="2">
        <f>32098.35+367708.31</f>
        <v>399806.66</v>
      </c>
      <c r="N38" s="2">
        <v>179639.45</v>
      </c>
      <c r="O38" s="2">
        <f>19053.66+339996.73</f>
        <v>359050.38999999996</v>
      </c>
      <c r="P38" s="2">
        <v>179639.45</v>
      </c>
      <c r="Q38" s="2">
        <f>214101.64+184501.39</f>
        <v>398603.03</v>
      </c>
      <c r="R38" s="2">
        <v>179639.45</v>
      </c>
      <c r="S38" s="2">
        <f>293392.92+82646.26</f>
        <v>376039.18</v>
      </c>
      <c r="T38" s="2">
        <v>179639.45</v>
      </c>
      <c r="U38" s="2">
        <f>18347.3+293392.92</f>
        <v>311740.21999999997</v>
      </c>
      <c r="V38" s="2">
        <f>142806.04</f>
        <v>142806.04</v>
      </c>
      <c r="W38" s="2">
        <f>175124.05+248350.04</f>
        <v>423474.08999999997</v>
      </c>
      <c r="X38" s="2">
        <v>142806.04</v>
      </c>
      <c r="Y38" s="2">
        <v>99147.76</v>
      </c>
      <c r="Z38" s="2"/>
      <c r="AA38" s="16">
        <f>23731.53+27555.65</f>
        <v>51287.18</v>
      </c>
      <c r="AB38" s="16"/>
      <c r="AC38" s="16">
        <f>36698.81+43106.43</f>
        <v>79805.239999999991</v>
      </c>
      <c r="AD38" s="16"/>
      <c r="AE38" s="23">
        <f>AF38+16412.78</f>
        <v>238760.13999999998</v>
      </c>
      <c r="AF38" s="23">
        <f>104792.76+117554.6</f>
        <v>222347.36</v>
      </c>
      <c r="AG38" s="13"/>
      <c r="AH38" s="23"/>
      <c r="AI38" s="16">
        <f>54159.74+22819.27+80774.94</f>
        <v>157753.95000000001</v>
      </c>
      <c r="AJ38" s="29">
        <f>54159.74+22819.27</f>
        <v>76979.009999999995</v>
      </c>
      <c r="AK38" s="16"/>
      <c r="AL38" s="16"/>
      <c r="AM38" s="16">
        <f>18482.63+231100.44+40487.61</f>
        <v>290070.68</v>
      </c>
      <c r="AN38" s="16">
        <f>18482.63+231100.44</f>
        <v>249583.07</v>
      </c>
      <c r="AO38" s="16"/>
      <c r="AP38" s="16"/>
      <c r="AQ38" s="24"/>
      <c r="AR38" s="24"/>
    </row>
    <row r="39" spans="1:44" x14ac:dyDescent="0.25">
      <c r="A39" s="109" t="s">
        <v>8</v>
      </c>
      <c r="B39" s="110"/>
      <c r="C39" s="2"/>
      <c r="D39" s="2"/>
      <c r="E39" s="2"/>
      <c r="F39" s="2"/>
      <c r="G39" s="2">
        <f>1280106.96+331142.71</f>
        <v>1611249.67</v>
      </c>
      <c r="H39" s="2"/>
      <c r="I39" s="2">
        <f>1112706.33+292125.54</f>
        <v>1404831.87</v>
      </c>
      <c r="J39" s="2"/>
      <c r="K39" s="2">
        <f>1664826.89+424726.47</f>
        <v>2089553.3599999999</v>
      </c>
      <c r="L39" s="2"/>
      <c r="M39" s="2">
        <v>1291836.76</v>
      </c>
      <c r="N39" s="2"/>
      <c r="O39" s="2">
        <f>336869.12+1006180.12</f>
        <v>1343049.24</v>
      </c>
      <c r="P39" s="2"/>
      <c r="Q39" s="2">
        <f>290310.2+1054801</f>
        <v>1345111.2</v>
      </c>
      <c r="R39" s="2"/>
      <c r="S39" s="2">
        <f>210412.6+1031728.18</f>
        <v>1242140.78</v>
      </c>
      <c r="T39" s="2"/>
      <c r="U39" s="2">
        <f>144677.62+1051908.03</f>
        <v>1196585.6499999999</v>
      </c>
      <c r="V39" s="2"/>
      <c r="W39" s="2">
        <f>257630.31+1025805.39</f>
        <v>1283435.7</v>
      </c>
      <c r="X39" s="2"/>
      <c r="Y39" s="2"/>
      <c r="Z39" s="2"/>
      <c r="AA39" s="16">
        <f>367554.1+1092399.95</f>
        <v>1459954.0499999998</v>
      </c>
      <c r="AB39" s="16"/>
      <c r="AC39" s="16">
        <f>413160.07+976030.95</f>
        <v>1389191.02</v>
      </c>
      <c r="AD39" s="16"/>
      <c r="AE39" s="23">
        <f>AF39+20410</f>
        <v>1483828.69</v>
      </c>
      <c r="AF39" s="23">
        <f>399447.7+1063970.99</f>
        <v>1463418.69</v>
      </c>
      <c r="AG39" s="13"/>
      <c r="AH39" s="23"/>
      <c r="AI39" s="16">
        <f>399497.7+11131.38+1854102.36</f>
        <v>2264731.44</v>
      </c>
      <c r="AJ39" s="16">
        <f>399497.7+1854102.36</f>
        <v>2253600.06</v>
      </c>
      <c r="AK39" s="16"/>
      <c r="AL39" s="16"/>
      <c r="AM39" s="16">
        <f>327794.4+13790.2+3299795.82</f>
        <v>3641380.42</v>
      </c>
      <c r="AN39" s="16">
        <f>327794.4+3299795.82</f>
        <v>3627590.2199999997</v>
      </c>
      <c r="AO39" s="16"/>
      <c r="AP39" s="16"/>
      <c r="AQ39" s="24"/>
      <c r="AR39" s="24"/>
    </row>
    <row r="40" spans="1:44" x14ac:dyDescent="0.25">
      <c r="A40" s="109" t="s">
        <v>9</v>
      </c>
      <c r="B40" s="110"/>
      <c r="C40" s="2"/>
      <c r="D40" s="2"/>
      <c r="E40" s="2"/>
      <c r="F40" s="2"/>
      <c r="G40" s="2">
        <f>191330.96+483962.51</f>
        <v>675293.47</v>
      </c>
      <c r="H40" s="2"/>
      <c r="I40" s="2">
        <f>171605.74+559066.92</f>
        <v>730672.66</v>
      </c>
      <c r="J40" s="2"/>
      <c r="K40" s="2">
        <f>209944.24+697945.82</f>
        <v>907890.05999999994</v>
      </c>
      <c r="L40" s="2"/>
      <c r="M40" s="2">
        <v>596611.02</v>
      </c>
      <c r="N40" s="2"/>
      <c r="O40" s="2">
        <f>198862.88+580042.1</f>
        <v>778904.98</v>
      </c>
      <c r="P40" s="2"/>
      <c r="Q40" s="2">
        <f>612669.18+219338.18</f>
        <v>832007.3600000001</v>
      </c>
      <c r="R40" s="2"/>
      <c r="S40" s="2">
        <f>201317.46+630998.38</f>
        <v>832315.84</v>
      </c>
      <c r="T40" s="2"/>
      <c r="U40" s="2">
        <f>184341.93+601701.1</f>
        <v>786043.03</v>
      </c>
      <c r="V40" s="2"/>
      <c r="W40" s="2">
        <f>177715.19+604861.18</f>
        <v>782576.37000000011</v>
      </c>
      <c r="X40" s="2"/>
      <c r="Y40" s="2">
        <v>-9193.7999999999993</v>
      </c>
      <c r="Z40" s="2"/>
      <c r="AA40" s="16">
        <f>254861.86+627161.14</f>
        <v>882023</v>
      </c>
      <c r="AB40" s="16"/>
      <c r="AC40" s="16">
        <f>363441.69+1320113.41</f>
        <v>1683555.0999999999</v>
      </c>
      <c r="AD40" s="16">
        <f>20923.56+643955.03</f>
        <v>664878.59000000008</v>
      </c>
      <c r="AE40" s="23">
        <f>AF40+9183.82</f>
        <v>2863942.15</v>
      </c>
      <c r="AF40" s="23">
        <f>469042.19+2385716.14</f>
        <v>2854758.33</v>
      </c>
      <c r="AG40" s="23">
        <v>1220473.1200000001</v>
      </c>
      <c r="AH40" s="23">
        <f>147655.46+1072817.66</f>
        <v>1220473.1199999999</v>
      </c>
      <c r="AI40" s="16">
        <f>283794.68+8867.96+960334.11</f>
        <v>1252996.75</v>
      </c>
      <c r="AJ40" s="16">
        <f>283794.68+960334.11</f>
        <v>1244128.79</v>
      </c>
      <c r="AK40" s="16"/>
      <c r="AL40" s="16"/>
      <c r="AM40" s="16">
        <f>274593.33+11675.96+1312087.4</f>
        <v>1598356.69</v>
      </c>
      <c r="AN40" s="16">
        <f>274593.33+1312087.4</f>
        <v>1586680.73</v>
      </c>
      <c r="AO40" s="16"/>
      <c r="AP40" s="16"/>
      <c r="AQ40" s="24"/>
      <c r="AR40" s="24"/>
    </row>
    <row r="41" spans="1:44" x14ac:dyDescent="0.25">
      <c r="A41" s="109" t="s">
        <v>10</v>
      </c>
      <c r="B41" s="1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218898</f>
        <v>218898</v>
      </c>
      <c r="P41" s="2"/>
      <c r="Q41" s="2">
        <v>206882</v>
      </c>
      <c r="R41" s="2"/>
      <c r="S41" s="2">
        <v>165360</v>
      </c>
      <c r="T41" s="2"/>
      <c r="U41" s="2">
        <v>188686.65</v>
      </c>
      <c r="V41" s="2"/>
      <c r="W41" s="2">
        <f>191073</f>
        <v>191073</v>
      </c>
      <c r="X41" s="2"/>
      <c r="Y41" s="2">
        <v>-12759</v>
      </c>
      <c r="Z41" s="2"/>
      <c r="AA41" s="16"/>
      <c r="AB41" s="16"/>
      <c r="AC41" s="16"/>
      <c r="AD41" s="16"/>
      <c r="AE41" s="23">
        <f>AF41+1115</f>
        <v>94671.360000000001</v>
      </c>
      <c r="AF41" s="23">
        <v>93556.36</v>
      </c>
      <c r="AG41" s="23"/>
      <c r="AH41" s="23"/>
      <c r="AI41" s="16">
        <f>92285.57+477</f>
        <v>92762.57</v>
      </c>
      <c r="AJ41" s="16">
        <v>92285.57</v>
      </c>
      <c r="AK41" s="16"/>
      <c r="AL41" s="16"/>
      <c r="AM41" s="16"/>
      <c r="AN41" s="16">
        <v>0</v>
      </c>
      <c r="AO41" s="16"/>
      <c r="AP41" s="16"/>
      <c r="AQ41" s="24"/>
      <c r="AR41" s="24"/>
    </row>
    <row r="42" spans="1:44" x14ac:dyDescent="0.25">
      <c r="A42" s="109" t="s">
        <v>16</v>
      </c>
      <c r="B42" s="1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2683.17</v>
      </c>
      <c r="Z42" s="2"/>
      <c r="AA42" s="16">
        <v>199342.7</v>
      </c>
      <c r="AB42" s="16"/>
      <c r="AC42" s="16">
        <f>1258375.62</f>
        <v>1258375.6200000001</v>
      </c>
      <c r="AD42" s="16">
        <v>844102</v>
      </c>
      <c r="AE42" s="23">
        <f>AF42</f>
        <v>1362588.5</v>
      </c>
      <c r="AF42" s="23">
        <v>1362588.5</v>
      </c>
      <c r="AG42" s="23">
        <v>660120.76</v>
      </c>
      <c r="AH42" s="23">
        <v>660120.76</v>
      </c>
      <c r="AI42" s="16">
        <f>633441.77</f>
        <v>633441.77</v>
      </c>
      <c r="AJ42" s="16">
        <v>633441.77</v>
      </c>
      <c r="AK42" s="16"/>
      <c r="AL42" s="16"/>
      <c r="AM42" s="16">
        <v>586853.43000000005</v>
      </c>
      <c r="AN42" s="16">
        <v>586853.43000000005</v>
      </c>
      <c r="AO42" s="16"/>
      <c r="AP42" s="16"/>
      <c r="AQ42" s="24"/>
      <c r="AR42" s="24"/>
    </row>
    <row r="43" spans="1:44" x14ac:dyDescent="0.25">
      <c r="A43" s="111" t="s">
        <v>17</v>
      </c>
      <c r="B43" s="112"/>
      <c r="C43" s="115">
        <v>10765845.27</v>
      </c>
      <c r="D43" s="115">
        <v>7171240.7400000002</v>
      </c>
      <c r="E43" s="115">
        <f>SUM(E45:E49)</f>
        <v>13066265.32</v>
      </c>
      <c r="F43" s="115">
        <f>SUM(F45:F49)</f>
        <v>9363054.25</v>
      </c>
      <c r="G43" s="115">
        <f t="shared" ref="G43:AC43" si="9">SUM(G45:G49)</f>
        <v>12452961.670000002</v>
      </c>
      <c r="H43" s="115">
        <f t="shared" si="9"/>
        <v>10697359.270000001</v>
      </c>
      <c r="I43" s="115">
        <f t="shared" si="9"/>
        <v>10509503.82</v>
      </c>
      <c r="J43" s="115">
        <f t="shared" si="9"/>
        <v>9311032.910000002</v>
      </c>
      <c r="K43" s="115">
        <f t="shared" si="9"/>
        <v>9816963.7700000014</v>
      </c>
      <c r="L43" s="115">
        <f t="shared" si="9"/>
        <v>9514146.0000000019</v>
      </c>
      <c r="M43" s="115">
        <f t="shared" si="9"/>
        <v>10491903.119999999</v>
      </c>
      <c r="N43" s="115">
        <f t="shared" si="9"/>
        <v>10223094.629999999</v>
      </c>
      <c r="O43" s="115">
        <f t="shared" si="9"/>
        <v>11041075.82</v>
      </c>
      <c r="P43" s="115">
        <f t="shared" si="9"/>
        <v>9852688.540000001</v>
      </c>
      <c r="Q43" s="115">
        <f t="shared" si="9"/>
        <v>11491967.560000001</v>
      </c>
      <c r="R43" s="115">
        <f t="shared" si="9"/>
        <v>9865070.0600000005</v>
      </c>
      <c r="S43" s="115">
        <f t="shared" si="9"/>
        <v>12060303.5</v>
      </c>
      <c r="T43" s="115">
        <f t="shared" si="9"/>
        <v>10862190.040000001</v>
      </c>
      <c r="U43" s="115">
        <f t="shared" si="9"/>
        <v>11619250.300000001</v>
      </c>
      <c r="V43" s="115">
        <f t="shared" si="9"/>
        <v>9816511.040000001</v>
      </c>
      <c r="W43" s="115">
        <f t="shared" si="9"/>
        <v>11514591.1</v>
      </c>
      <c r="X43" s="115">
        <f t="shared" si="9"/>
        <v>10293165.02</v>
      </c>
      <c r="Y43" s="115">
        <f t="shared" si="9"/>
        <v>14972637.870000001</v>
      </c>
      <c r="Z43" s="115">
        <f t="shared" si="9"/>
        <v>11006589.689999999</v>
      </c>
      <c r="AA43" s="128">
        <f t="shared" si="9"/>
        <v>11434380.700000001</v>
      </c>
      <c r="AB43" s="128">
        <f t="shared" si="9"/>
        <v>1118646.56</v>
      </c>
      <c r="AC43" s="128">
        <f t="shared" si="9"/>
        <v>20378851.969999999</v>
      </c>
      <c r="AD43" s="128">
        <f t="shared" ref="AD43:AK43" si="10">AD45+AD46+AD47+AD48+AD49</f>
        <v>6845671.4899999993</v>
      </c>
      <c r="AE43" s="126">
        <f t="shared" si="10"/>
        <v>21821924</v>
      </c>
      <c r="AF43" s="126">
        <f t="shared" si="10"/>
        <v>1624721</v>
      </c>
      <c r="AG43" s="126">
        <f t="shared" si="10"/>
        <v>8640587.1999999993</v>
      </c>
      <c r="AH43" s="126">
        <f t="shared" si="10"/>
        <v>0</v>
      </c>
      <c r="AI43" s="122">
        <f t="shared" si="10"/>
        <v>16329235.25</v>
      </c>
      <c r="AJ43" s="122">
        <v>0</v>
      </c>
      <c r="AK43" s="122">
        <f t="shared" si="10"/>
        <v>5018242.82</v>
      </c>
      <c r="AL43" s="122">
        <v>0</v>
      </c>
      <c r="AM43" s="122">
        <f>AM45+AM46+AM47+AM48+AM49</f>
        <v>12810281.159999998</v>
      </c>
      <c r="AN43" s="122">
        <f>AN45+AN46+AN47+AN48+AN49</f>
        <v>0</v>
      </c>
      <c r="AO43" s="122">
        <f>AO45+AO46+AO47+AO48+AO49</f>
        <v>3457083</v>
      </c>
      <c r="AP43" s="122">
        <f>AP45+AP46+AP47+AP48+AP49</f>
        <v>0</v>
      </c>
      <c r="AQ43" s="116">
        <f>AM43/AI43-1</f>
        <v>-0.21550023844503075</v>
      </c>
      <c r="AR43" s="116">
        <f>AO43/AK43-1</f>
        <v>-0.31109690702451909</v>
      </c>
    </row>
    <row r="44" spans="1:44" x14ac:dyDescent="0.25">
      <c r="A44" s="113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5"/>
      <c r="AB44" s="125"/>
      <c r="AC44" s="125"/>
      <c r="AD44" s="125"/>
      <c r="AE44" s="127"/>
      <c r="AF44" s="127"/>
      <c r="AG44" s="127"/>
      <c r="AH44" s="127"/>
      <c r="AI44" s="123"/>
      <c r="AJ44" s="123"/>
      <c r="AK44" s="123"/>
      <c r="AL44" s="123"/>
      <c r="AM44" s="123"/>
      <c r="AN44" s="123"/>
      <c r="AO44" s="123"/>
      <c r="AP44" s="123"/>
      <c r="AQ44" s="117"/>
      <c r="AR44" s="117"/>
    </row>
    <row r="45" spans="1:44" x14ac:dyDescent="0.25">
      <c r="A45" s="109" t="s">
        <v>11</v>
      </c>
      <c r="B45" s="110"/>
      <c r="C45" s="2"/>
      <c r="D45" s="2"/>
      <c r="E45" s="2">
        <v>1445875.56</v>
      </c>
      <c r="F45" s="2">
        <v>504057.32</v>
      </c>
      <c r="G45" s="2">
        <f>15780.83+1401592.32</f>
        <v>1417373.1500000001</v>
      </c>
      <c r="H45" s="2">
        <f>497307.75</f>
        <v>497307.75</v>
      </c>
      <c r="I45" s="2">
        <f>14359.15+1094634.15</f>
        <v>1108993.2999999998</v>
      </c>
      <c r="J45" s="2">
        <v>581610.39</v>
      </c>
      <c r="K45" s="2">
        <f>45290.3+812014.95</f>
        <v>857305.25</v>
      </c>
      <c r="L45" s="2">
        <v>554487.48</v>
      </c>
      <c r="M45" s="2">
        <f>22392+828113.09</f>
        <v>850505.09</v>
      </c>
      <c r="N45" s="2">
        <f>581696.6</f>
        <v>581696.6</v>
      </c>
      <c r="O45" s="2">
        <f>24207.15+1590490.12</f>
        <v>1614697.27</v>
      </c>
      <c r="P45" s="2">
        <f>484794.48</f>
        <v>484794.48</v>
      </c>
      <c r="Q45" s="2">
        <v>1906086.62</v>
      </c>
      <c r="R45" s="2"/>
      <c r="S45" s="2">
        <f>23600.15+1705289.54</f>
        <v>1728889.69</v>
      </c>
      <c r="T45" s="2">
        <v>530776.23</v>
      </c>
      <c r="U45" s="2">
        <f>2268996.34+30919.15</f>
        <v>2299915.4899999998</v>
      </c>
      <c r="V45" s="2">
        <v>497176.23</v>
      </c>
      <c r="W45" s="2">
        <f>2127960.81+48959.2</f>
        <v>2176920.0100000002</v>
      </c>
      <c r="X45" s="2">
        <v>955493.93</v>
      </c>
      <c r="Y45" s="2">
        <v>2219644.2799999998</v>
      </c>
      <c r="Z45" s="2">
        <f>782752.86</f>
        <v>782752.86</v>
      </c>
      <c r="AA45" s="16">
        <f>25455.33+3676740.99</f>
        <v>3702196.3200000003</v>
      </c>
      <c r="AB45" s="16">
        <v>370926</v>
      </c>
      <c r="AC45" s="16">
        <f>25119.87+10218497.79</f>
        <v>10243617.659999998</v>
      </c>
      <c r="AD45" s="16">
        <v>3812324.48</v>
      </c>
      <c r="AE45" s="23">
        <f>92866+7505896.09</f>
        <v>7598762.0899999999</v>
      </c>
      <c r="AF45" s="23">
        <v>1624721</v>
      </c>
      <c r="AG45" s="23">
        <v>1546341.78</v>
      </c>
      <c r="AH45" s="13"/>
      <c r="AI45" s="16">
        <f>36469.87+5446750.25</f>
        <v>5483220.1200000001</v>
      </c>
      <c r="AJ45" s="33">
        <v>0</v>
      </c>
      <c r="AK45" s="16">
        <v>2700000</v>
      </c>
      <c r="AL45" s="16">
        <v>0</v>
      </c>
      <c r="AM45" s="16">
        <f>44829.1+4214618.7</f>
        <v>4259447.8</v>
      </c>
      <c r="AN45" s="16"/>
      <c r="AO45" s="16">
        <v>2700000</v>
      </c>
      <c r="AP45" s="16"/>
      <c r="AQ45" s="24"/>
      <c r="AR45" s="24"/>
    </row>
    <row r="46" spans="1:44" x14ac:dyDescent="0.25">
      <c r="A46" s="109" t="s">
        <v>8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107414.79</v>
      </c>
      <c r="R46" s="2"/>
      <c r="S46" s="2"/>
      <c r="T46" s="2"/>
      <c r="U46" s="2"/>
      <c r="V46" s="2"/>
      <c r="W46" s="2"/>
      <c r="X46" s="2"/>
      <c r="Y46" s="2"/>
      <c r="Z46" s="2"/>
      <c r="AA46" s="16">
        <f>240366.78+3338386.23</f>
        <v>3578753.01</v>
      </c>
      <c r="AB46" s="16"/>
      <c r="AC46" s="16">
        <f>213303.85+3570475.36</f>
        <v>3783779.21</v>
      </c>
      <c r="AD46" s="16"/>
      <c r="AE46" s="23">
        <f>1048316.56+3892857.12</f>
        <v>4941173.68</v>
      </c>
      <c r="AF46" s="13"/>
      <c r="AG46" s="23"/>
      <c r="AH46" s="13"/>
      <c r="AI46" s="16">
        <f>1013379.37+4504888.09</f>
        <v>5518267.46</v>
      </c>
      <c r="AJ46" s="16"/>
      <c r="AK46" s="16"/>
      <c r="AL46" s="16"/>
      <c r="AM46" s="16">
        <f>1112169.26+3923224</f>
        <v>5035393.26</v>
      </c>
      <c r="AN46" s="16"/>
      <c r="AO46" s="16"/>
      <c r="AP46" s="16"/>
      <c r="AQ46" s="24"/>
      <c r="AR46" s="24"/>
    </row>
    <row r="47" spans="1:44" x14ac:dyDescent="0.25">
      <c r="A47" s="109" t="s">
        <v>9</v>
      </c>
      <c r="B47" s="110"/>
      <c r="C47" s="2"/>
      <c r="D47" s="2"/>
      <c r="E47" s="2">
        <v>1463841.51</v>
      </c>
      <c r="F47" s="2"/>
      <c r="G47" s="2">
        <v>166700</v>
      </c>
      <c r="H47" s="2"/>
      <c r="I47" s="2"/>
      <c r="J47" s="2"/>
      <c r="K47" s="2"/>
      <c r="L47" s="2"/>
      <c r="M47" s="2"/>
      <c r="N47" s="2"/>
      <c r="O47" s="2">
        <v>27151.16</v>
      </c>
      <c r="P47" s="2"/>
      <c r="Q47" s="2">
        <v>78572.100000000006</v>
      </c>
      <c r="R47" s="2"/>
      <c r="S47" s="2"/>
      <c r="T47" s="2"/>
      <c r="U47" s="2"/>
      <c r="V47" s="2"/>
      <c r="W47" s="2"/>
      <c r="X47" s="2"/>
      <c r="Y47" s="2">
        <v>1439851.12</v>
      </c>
      <c r="Z47" s="2"/>
      <c r="AA47" s="16">
        <f>182858.49+1828141.64</f>
        <v>2011000.13</v>
      </c>
      <c r="AB47" s="16"/>
      <c r="AC47" s="16">
        <f>194574.38+2050743.86</f>
        <v>2245318.2400000002</v>
      </c>
      <c r="AD47" s="16"/>
      <c r="AE47" s="23">
        <f>763510.32+2959710.97+0.85</f>
        <v>3723222.14</v>
      </c>
      <c r="AF47" s="13"/>
      <c r="AG47" s="23">
        <f>317932.16+1222488.09</f>
        <v>1540420.25</v>
      </c>
      <c r="AH47" s="13"/>
      <c r="AI47" s="16">
        <f>840855.82+2166721.03</f>
        <v>3007576.8499999996</v>
      </c>
      <c r="AJ47" s="16"/>
      <c r="AK47" s="16"/>
      <c r="AL47" s="16"/>
      <c r="AM47" s="16">
        <f>561232.1+2197125</f>
        <v>2758357.1</v>
      </c>
      <c r="AN47" s="16"/>
      <c r="AO47" s="16"/>
      <c r="AP47" s="16"/>
      <c r="AQ47" s="24"/>
      <c r="AR47" s="24"/>
    </row>
    <row r="48" spans="1:44" x14ac:dyDescent="0.25">
      <c r="A48" s="109" t="s">
        <v>10</v>
      </c>
      <c r="B48" s="110"/>
      <c r="C48" s="2"/>
      <c r="D48" s="2"/>
      <c r="E48" s="2">
        <v>10156548.25</v>
      </c>
      <c r="F48" s="2">
        <v>8858996.9299999997</v>
      </c>
      <c r="G48" s="2">
        <f>317.3+10868571.22</f>
        <v>10868888.520000001</v>
      </c>
      <c r="H48" s="2">
        <f>10199734.22+317.3</f>
        <v>10200051.520000001</v>
      </c>
      <c r="I48" s="2">
        <f>317.3+9400193.22</f>
        <v>9400510.5200000014</v>
      </c>
      <c r="J48" s="2">
        <f>317.3+8729105.22</f>
        <v>8729422.5200000014</v>
      </c>
      <c r="K48" s="2">
        <f>317.3+8959341.22</f>
        <v>8959658.5200000014</v>
      </c>
      <c r="L48" s="2">
        <f>317.3+8959341.22</f>
        <v>8959658.5200000014</v>
      </c>
      <c r="M48" s="2">
        <v>9641398.0299999993</v>
      </c>
      <c r="N48" s="2">
        <v>9641398.0299999993</v>
      </c>
      <c r="O48" s="2">
        <f>9367894.06</f>
        <v>9367894.0600000005</v>
      </c>
      <c r="P48" s="2">
        <f>9367894.06</f>
        <v>9367894.0600000005</v>
      </c>
      <c r="Q48" s="2">
        <f>9367894.06</f>
        <v>9367894.0600000005</v>
      </c>
      <c r="R48" s="2">
        <v>9865070.0600000005</v>
      </c>
      <c r="S48" s="2">
        <v>10331413.810000001</v>
      </c>
      <c r="T48" s="2">
        <v>10331413.810000001</v>
      </c>
      <c r="U48" s="2">
        <v>9319334.8100000005</v>
      </c>
      <c r="V48" s="2">
        <v>9319334.8100000005</v>
      </c>
      <c r="W48" s="2">
        <f>9337671.09</f>
        <v>9337671.0899999999</v>
      </c>
      <c r="X48" s="2">
        <v>9337671.0899999999</v>
      </c>
      <c r="Y48" s="2">
        <v>11178667.26</v>
      </c>
      <c r="Z48" s="2">
        <v>10089361.619999999</v>
      </c>
      <c r="AA48" s="16">
        <f>41557.97+1353152.71</f>
        <v>1394710.68</v>
      </c>
      <c r="AB48" s="16"/>
      <c r="AC48" s="16">
        <f>79834.83+2444326.98</f>
        <v>2524161.81</v>
      </c>
      <c r="AD48" s="16">
        <v>1451371.96</v>
      </c>
      <c r="AE48" s="23">
        <f>15039+567180.92</f>
        <v>582219.92000000004</v>
      </c>
      <c r="AF48" s="13"/>
      <c r="AG48" s="23">
        <f>15039+562240</f>
        <v>577279</v>
      </c>
      <c r="AH48" s="13"/>
      <c r="AI48" s="16">
        <v>497002</v>
      </c>
      <c r="AJ48" s="16"/>
      <c r="AK48" s="16">
        <v>495074</v>
      </c>
      <c r="AL48" s="16"/>
      <c r="AM48" s="16">
        <v>757083</v>
      </c>
      <c r="AN48" s="16"/>
      <c r="AO48" s="16">
        <v>757083</v>
      </c>
      <c r="AP48" s="16"/>
      <c r="AQ48" s="24"/>
      <c r="AR48" s="24"/>
    </row>
    <row r="49" spans="1:44" x14ac:dyDescent="0.25">
      <c r="A49" s="109" t="s">
        <v>16</v>
      </c>
      <c r="B49" s="1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31333.33</v>
      </c>
      <c r="P49" s="2"/>
      <c r="Q49" s="2">
        <v>31999.99</v>
      </c>
      <c r="R49" s="2"/>
      <c r="S49" s="2"/>
      <c r="T49" s="2"/>
      <c r="U49" s="2"/>
      <c r="V49" s="2"/>
      <c r="W49" s="2"/>
      <c r="X49" s="2"/>
      <c r="Y49" s="2">
        <v>134475.21</v>
      </c>
      <c r="Z49" s="2">
        <v>134475.21</v>
      </c>
      <c r="AA49" s="16">
        <v>747720.56</v>
      </c>
      <c r="AB49" s="16">
        <v>747720.56</v>
      </c>
      <c r="AC49" s="16">
        <v>1581975.05</v>
      </c>
      <c r="AD49" s="16">
        <v>1581975.05</v>
      </c>
      <c r="AE49" s="23">
        <v>4976546.17</v>
      </c>
      <c r="AF49" s="13"/>
      <c r="AG49" s="23">
        <v>4976546.17</v>
      </c>
      <c r="AH49" s="13"/>
      <c r="AI49" s="16">
        <v>1823168.82</v>
      </c>
      <c r="AJ49" s="16"/>
      <c r="AK49" s="16">
        <v>1823168.82</v>
      </c>
      <c r="AL49" s="16"/>
      <c r="AM49" s="16"/>
      <c r="AN49" s="16"/>
      <c r="AO49" s="16"/>
      <c r="AP49" s="16"/>
      <c r="AQ49" s="24"/>
      <c r="AR49" s="24"/>
    </row>
    <row r="50" spans="1:44" hidden="1" x14ac:dyDescent="0.25">
      <c r="A50" s="111" t="s">
        <v>4</v>
      </c>
      <c r="B50" s="112"/>
      <c r="C50" s="115">
        <v>654159.29</v>
      </c>
      <c r="D50" s="115">
        <f>SUM(D52:D56)</f>
        <v>0</v>
      </c>
      <c r="E50" s="115">
        <f t="shared" ref="E50:Z50" si="11">SUM(E52:E56)</f>
        <v>159427.71</v>
      </c>
      <c r="F50" s="115">
        <f t="shared" si="11"/>
        <v>156150</v>
      </c>
      <c r="G50" s="115">
        <f t="shared" si="11"/>
        <v>166323.26</v>
      </c>
      <c r="H50" s="115">
        <f t="shared" si="11"/>
        <v>156150</v>
      </c>
      <c r="I50" s="115">
        <f t="shared" si="11"/>
        <v>158187.54</v>
      </c>
      <c r="J50" s="115">
        <f t="shared" si="11"/>
        <v>156150</v>
      </c>
      <c r="K50" s="115">
        <f t="shared" si="11"/>
        <v>157389.10999999999</v>
      </c>
      <c r="L50" s="115">
        <f t="shared" si="11"/>
        <v>156150</v>
      </c>
      <c r="M50" s="115">
        <f t="shared" si="11"/>
        <v>162310.56</v>
      </c>
      <c r="N50" s="115">
        <f t="shared" si="11"/>
        <v>156150</v>
      </c>
      <c r="O50" s="115">
        <f t="shared" si="11"/>
        <v>158206.72</v>
      </c>
      <c r="P50" s="115">
        <f t="shared" si="11"/>
        <v>156150</v>
      </c>
      <c r="Q50" s="115">
        <f t="shared" si="11"/>
        <v>162910.32999999999</v>
      </c>
      <c r="R50" s="115">
        <f t="shared" si="11"/>
        <v>156150</v>
      </c>
      <c r="S50" s="115">
        <f t="shared" si="11"/>
        <v>159608.60999999999</v>
      </c>
      <c r="T50" s="115">
        <f t="shared" si="11"/>
        <v>156150</v>
      </c>
      <c r="U50" s="115">
        <f t="shared" si="11"/>
        <v>157986.35</v>
      </c>
      <c r="V50" s="115">
        <f t="shared" si="11"/>
        <v>156150</v>
      </c>
      <c r="W50" s="115">
        <f t="shared" si="11"/>
        <v>159926.9</v>
      </c>
      <c r="X50" s="115">
        <f t="shared" si="11"/>
        <v>156150</v>
      </c>
      <c r="Y50" s="115">
        <f t="shared" si="11"/>
        <v>0</v>
      </c>
      <c r="Z50" s="115">
        <f t="shared" si="11"/>
        <v>0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45"/>
      <c r="AN50" s="45"/>
      <c r="AO50" s="45"/>
      <c r="AP50" s="45"/>
      <c r="AQ50" s="116">
        <f>Y50/E50-1</f>
        <v>-1</v>
      </c>
      <c r="AR50" s="116">
        <f>Z50/F50-1</f>
        <v>-1</v>
      </c>
    </row>
    <row r="51" spans="1:44" hidden="1" x14ac:dyDescent="0.25">
      <c r="A51" s="113"/>
      <c r="B51" s="11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44"/>
      <c r="AN51" s="44"/>
      <c r="AO51" s="44"/>
      <c r="AP51" s="44"/>
      <c r="AQ51" s="117"/>
      <c r="AR51" s="117"/>
    </row>
    <row r="52" spans="1:44" hidden="1" x14ac:dyDescent="0.25">
      <c r="A52" s="109" t="s">
        <v>11</v>
      </c>
      <c r="B52" s="110"/>
      <c r="C52" s="2"/>
      <c r="D52" s="2"/>
      <c r="E52" s="2">
        <v>2936.71</v>
      </c>
      <c r="F52" s="2"/>
      <c r="G52" s="2">
        <v>10173.26</v>
      </c>
      <c r="H52" s="2"/>
      <c r="I52" s="2">
        <v>2037.54</v>
      </c>
      <c r="J52" s="2"/>
      <c r="K52" s="2">
        <v>1239.1099999999999</v>
      </c>
      <c r="L52" s="2"/>
      <c r="M52" s="2">
        <v>6160.56</v>
      </c>
      <c r="N52" s="2"/>
      <c r="O52" s="2">
        <v>2056.7199999999998</v>
      </c>
      <c r="P52" s="2"/>
      <c r="Q52" s="2">
        <v>4968.33</v>
      </c>
      <c r="R52" s="2"/>
      <c r="S52" s="2">
        <v>3458.61</v>
      </c>
      <c r="T52" s="2"/>
      <c r="U52" s="2">
        <v>1836.35</v>
      </c>
      <c r="V52" s="2"/>
      <c r="W52" s="2">
        <v>3776.9</v>
      </c>
      <c r="X52" s="2"/>
      <c r="Y52" s="2"/>
      <c r="Z52" s="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6"/>
      <c r="AN52" s="16"/>
      <c r="AO52" s="16"/>
      <c r="AP52" s="16"/>
      <c r="AQ52" s="24"/>
      <c r="AR52" s="24"/>
    </row>
    <row r="53" spans="1:44" hidden="1" x14ac:dyDescent="0.25">
      <c r="A53" s="109" t="s">
        <v>8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6"/>
      <c r="AN53" s="16"/>
      <c r="AO53" s="16"/>
      <c r="AP53" s="16"/>
      <c r="AQ53" s="24"/>
      <c r="AR53" s="24"/>
    </row>
    <row r="54" spans="1:44" hidden="1" x14ac:dyDescent="0.25">
      <c r="A54" s="109" t="s">
        <v>9</v>
      </c>
      <c r="B54" s="110"/>
      <c r="C54" s="2"/>
      <c r="D54" s="2"/>
      <c r="E54" s="2">
        <v>-10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6"/>
      <c r="AN54" s="16"/>
      <c r="AO54" s="16"/>
      <c r="AP54" s="16"/>
      <c r="AQ54" s="24"/>
      <c r="AR54" s="24"/>
    </row>
    <row r="55" spans="1:44" hidden="1" x14ac:dyDescent="0.25">
      <c r="A55" s="109" t="s">
        <v>10</v>
      </c>
      <c r="B55" s="110"/>
      <c r="C55" s="2"/>
      <c r="D55" s="2"/>
      <c r="E55" s="2">
        <v>351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1792</v>
      </c>
      <c r="R55" s="2"/>
      <c r="S55" s="2"/>
      <c r="T55" s="2"/>
      <c r="U55" s="2"/>
      <c r="V55" s="2"/>
      <c r="W55" s="2"/>
      <c r="X55" s="2"/>
      <c r="Y55" s="2"/>
      <c r="Z55" s="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6"/>
      <c r="AN55" s="16"/>
      <c r="AO55" s="16"/>
      <c r="AP55" s="16"/>
      <c r="AQ55" s="24"/>
      <c r="AR55" s="24"/>
    </row>
    <row r="56" spans="1:44" hidden="1" x14ac:dyDescent="0.25">
      <c r="A56" s="109" t="s">
        <v>16</v>
      </c>
      <c r="B56" s="110"/>
      <c r="C56" s="2"/>
      <c r="D56" s="2"/>
      <c r="E56" s="2">
        <v>156150</v>
      </c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0</v>
      </c>
      <c r="Z56" s="2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6"/>
      <c r="AN56" s="16"/>
      <c r="AO56" s="16"/>
      <c r="AP56" s="16"/>
      <c r="AQ56" s="24"/>
      <c r="AR56" s="24"/>
    </row>
    <row r="57" spans="1:44" x14ac:dyDescent="0.25">
      <c r="A57" s="111" t="s">
        <v>18</v>
      </c>
      <c r="B57" s="112"/>
      <c r="C57" s="107">
        <v>10829169.880000001</v>
      </c>
      <c r="D57" s="107">
        <f>1640975.89+2975186.97+988391.8</f>
        <v>5604554.6600000001</v>
      </c>
      <c r="E57" s="107">
        <f>SUM(E59:E63)</f>
        <v>6197764.7700000005</v>
      </c>
      <c r="F57" s="107">
        <f>SUM(F59:F63)</f>
        <v>3749667.49</v>
      </c>
      <c r="G57" s="107">
        <f t="shared" ref="G57:AD57" si="12">SUM(G59:G63)</f>
        <v>6852948.2799999993</v>
      </c>
      <c r="H57" s="107">
        <f t="shared" si="12"/>
        <v>3749667.49</v>
      </c>
      <c r="I57" s="107">
        <f t="shared" si="12"/>
        <v>5929212.6499999994</v>
      </c>
      <c r="J57" s="107">
        <f t="shared" si="12"/>
        <v>2974471.0500000003</v>
      </c>
      <c r="K57" s="107">
        <f t="shared" si="12"/>
        <v>7559967.5599999996</v>
      </c>
      <c r="L57" s="107">
        <f t="shared" si="12"/>
        <v>2974471.0500000003</v>
      </c>
      <c r="M57" s="107">
        <f t="shared" si="12"/>
        <v>6930316.6799999997</v>
      </c>
      <c r="N57" s="107">
        <f t="shared" si="12"/>
        <v>4894294.6399999997</v>
      </c>
      <c r="O57" s="107">
        <f t="shared" si="12"/>
        <v>7219255.4799999995</v>
      </c>
      <c r="P57" s="107">
        <f t="shared" si="12"/>
        <v>4894294.6399999997</v>
      </c>
      <c r="Q57" s="107">
        <f t="shared" si="12"/>
        <v>9600917.8499999996</v>
      </c>
      <c r="R57" s="107">
        <f t="shared" si="12"/>
        <v>4651292.82</v>
      </c>
      <c r="S57" s="107">
        <f t="shared" si="12"/>
        <v>8525632.5199999996</v>
      </c>
      <c r="T57" s="107">
        <f t="shared" si="12"/>
        <v>4005766.16</v>
      </c>
      <c r="U57" s="107">
        <f t="shared" si="12"/>
        <v>10599393.380000001</v>
      </c>
      <c r="V57" s="107">
        <f t="shared" si="12"/>
        <v>1496363.55</v>
      </c>
      <c r="W57" s="107">
        <f t="shared" si="12"/>
        <v>20377243.73</v>
      </c>
      <c r="X57" s="107">
        <f t="shared" si="12"/>
        <v>1496363.55</v>
      </c>
      <c r="Y57" s="107">
        <f t="shared" si="12"/>
        <v>20412653.610000003</v>
      </c>
      <c r="Z57" s="107">
        <f t="shared" si="12"/>
        <v>13308419.82</v>
      </c>
      <c r="AA57" s="124">
        <f t="shared" si="12"/>
        <v>54055934.440000005</v>
      </c>
      <c r="AB57" s="124">
        <f t="shared" si="12"/>
        <v>17697811.539999999</v>
      </c>
      <c r="AC57" s="124">
        <f t="shared" si="12"/>
        <v>61418098.109999999</v>
      </c>
      <c r="AD57" s="124">
        <f t="shared" si="12"/>
        <v>39172056.890000001</v>
      </c>
      <c r="AE57" s="118">
        <f>AE59+AE60+AE61+AE62+AE63</f>
        <v>12238071.009999998</v>
      </c>
      <c r="AF57" s="118">
        <f>AF59+AF60+AF61+AF62+AF63</f>
        <v>4454905.63</v>
      </c>
      <c r="AG57" s="118">
        <f>AG59+AG60+AG61+AG62+AG63</f>
        <v>401041.57</v>
      </c>
      <c r="AH57" s="118">
        <f>AH59+AH60+AH61+AH62+AH63</f>
        <v>0</v>
      </c>
      <c r="AI57" s="120">
        <f>AI59+AI60+AI61+AI62+AI63</f>
        <v>75253.62</v>
      </c>
      <c r="AJ57" s="120">
        <v>0</v>
      </c>
      <c r="AK57" s="120">
        <v>0</v>
      </c>
      <c r="AL57" s="120">
        <v>0</v>
      </c>
      <c r="AM57" s="120">
        <f>AM59+AM60+AM61+AM62+AM63</f>
        <v>0</v>
      </c>
      <c r="AN57" s="120">
        <f>AN59+AN60+AN61+AN62+AN63</f>
        <v>0</v>
      </c>
      <c r="AO57" s="120">
        <f>AO59+AO60+AO61+AO62+AO63</f>
        <v>0</v>
      </c>
      <c r="AP57" s="120">
        <f>AP59+AP60+AP61+AP62+AP63</f>
        <v>0</v>
      </c>
      <c r="AQ57" s="116">
        <f>AM57/AI57-1</f>
        <v>-1</v>
      </c>
      <c r="AR57" s="116" t="e">
        <f>AO57/AK57-1</f>
        <v>#DIV/0!</v>
      </c>
    </row>
    <row r="58" spans="1:44" x14ac:dyDescent="0.25">
      <c r="A58" s="113"/>
      <c r="B58" s="11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5"/>
      <c r="AB58" s="125"/>
      <c r="AC58" s="125"/>
      <c r="AD58" s="125"/>
      <c r="AE58" s="119"/>
      <c r="AF58" s="119"/>
      <c r="AG58" s="119"/>
      <c r="AH58" s="119"/>
      <c r="AI58" s="121"/>
      <c r="AJ58" s="121"/>
      <c r="AK58" s="121"/>
      <c r="AL58" s="121"/>
      <c r="AM58" s="121"/>
      <c r="AN58" s="121"/>
      <c r="AO58" s="121"/>
      <c r="AP58" s="121"/>
      <c r="AQ58" s="117"/>
      <c r="AR58" s="117"/>
    </row>
    <row r="59" spans="1:44" x14ac:dyDescent="0.25">
      <c r="A59" s="109" t="s">
        <v>11</v>
      </c>
      <c r="B59" s="110"/>
      <c r="C59" s="1"/>
      <c r="D59" s="1"/>
      <c r="E59" s="1">
        <v>6195284.0800000001</v>
      </c>
      <c r="F59" s="1">
        <f>3363056.56+386610.93</f>
        <v>3749667.49</v>
      </c>
      <c r="G59" s="1">
        <f>2263909.36+4559378.25</f>
        <v>6823287.6099999994</v>
      </c>
      <c r="H59" s="1">
        <f>386610.93+3363056.56</f>
        <v>3749667.49</v>
      </c>
      <c r="I59" s="1">
        <f>1799893.76+4099496.79</f>
        <v>5899390.5499999998</v>
      </c>
      <c r="J59" s="1">
        <f>386610.93+2587860.12</f>
        <v>2974471.0500000003</v>
      </c>
      <c r="K59" s="1">
        <f>5416106.16+2141154.26+1386.18+1320.96</f>
        <v>7559967.5599999996</v>
      </c>
      <c r="L59" s="1">
        <f>2587860.12+386610.93</f>
        <v>2974471.0500000003</v>
      </c>
      <c r="M59" s="1">
        <v>6930316.6799999997</v>
      </c>
      <c r="N59" s="1">
        <v>4894294.6399999997</v>
      </c>
      <c r="O59" s="1">
        <f>1865798.47+5348998.75</f>
        <v>7214797.2199999997</v>
      </c>
      <c r="P59" s="1">
        <f>386610.93+4507683.71</f>
        <v>4894294.6399999997</v>
      </c>
      <c r="Q59" s="1">
        <v>9600917.8499999996</v>
      </c>
      <c r="R59" s="1">
        <v>4651292.82</v>
      </c>
      <c r="S59" s="1">
        <f>2951333.92+5555295.68+15251.76+3751.16</f>
        <v>8525632.5199999996</v>
      </c>
      <c r="T59" s="1">
        <f>3619155.23+386610.93</f>
        <v>4005766.16</v>
      </c>
      <c r="U59" s="1">
        <f>1992205.58+8591549.02+5323.15+10315.63</f>
        <v>10599393.380000001</v>
      </c>
      <c r="V59" s="1">
        <f>1109752.62+386610.93</f>
        <v>1496363.55</v>
      </c>
      <c r="W59" s="1">
        <f>10545735.23+9823125.67+3422.46+4960.37</f>
        <v>20377243.73</v>
      </c>
      <c r="X59" s="1">
        <f>386610.93+1109752.62</f>
        <v>1496363.55</v>
      </c>
      <c r="Y59" s="1">
        <v>20441640.960000001</v>
      </c>
      <c r="Z59" s="1">
        <v>13308419.82</v>
      </c>
      <c r="AA59" s="19">
        <f>33166250.55+116.03+20185020.65+10333.24-153588.27</f>
        <v>53208132.200000003</v>
      </c>
      <c r="AB59" s="19">
        <f>17535000.48+162811.06-153588.27</f>
        <v>17544223.27</v>
      </c>
      <c r="AC59" s="19">
        <f>44014737.97+19482.3+16465957.71</f>
        <v>60500177.979999997</v>
      </c>
      <c r="AD59" s="19">
        <f>29503554.98+9668501.91</f>
        <v>39172056.890000001</v>
      </c>
      <c r="AE59" s="28">
        <v>11770839.189999999</v>
      </c>
      <c r="AF59" s="28">
        <v>4454905.63</v>
      </c>
      <c r="AG59" s="28">
        <v>401041.57</v>
      </c>
      <c r="AH59" s="12"/>
      <c r="AI59" s="19">
        <v>75253.62</v>
      </c>
      <c r="AJ59" s="19">
        <v>0</v>
      </c>
      <c r="AK59" s="19">
        <v>0</v>
      </c>
      <c r="AL59" s="19"/>
      <c r="AM59" s="12"/>
      <c r="AN59" s="12"/>
      <c r="AO59" s="12"/>
      <c r="AP59" s="12"/>
      <c r="AQ59" s="39"/>
      <c r="AR59" s="39"/>
    </row>
    <row r="60" spans="1:44" x14ac:dyDescent="0.25">
      <c r="A60" s="109" t="s">
        <v>8</v>
      </c>
      <c r="B60" s="1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9">
        <f>174701.03+239873.77</f>
        <v>414574.8</v>
      </c>
      <c r="AB60" s="19"/>
      <c r="AC60" s="19">
        <f>340113.75+6309.58+298211.41</f>
        <v>644634.74</v>
      </c>
      <c r="AD60" s="19"/>
      <c r="AE60" s="28">
        <f>180975.63+90797+9669.95</f>
        <v>281442.58</v>
      </c>
      <c r="AF60" s="12"/>
      <c r="AG60" s="12"/>
      <c r="AH60" s="12"/>
      <c r="AI60" s="19"/>
      <c r="AJ60" s="19"/>
      <c r="AK60" s="19"/>
      <c r="AL60" s="19"/>
      <c r="AM60" s="12"/>
      <c r="AN60" s="12"/>
      <c r="AO60" s="12"/>
      <c r="AP60" s="12"/>
      <c r="AQ60" s="39"/>
      <c r="AR60" s="39"/>
    </row>
    <row r="61" spans="1:44" x14ac:dyDescent="0.25">
      <c r="A61" s="109" t="s">
        <v>9</v>
      </c>
      <c r="B61" s="110"/>
      <c r="C61" s="1"/>
      <c r="D61" s="1"/>
      <c r="E61" s="1"/>
      <c r="F61" s="1"/>
      <c r="G61" s="1">
        <v>-0.01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9">
        <v>150004.17000000001</v>
      </c>
      <c r="AB61" s="19"/>
      <c r="AC61" s="19">
        <f>218911.42+53273.97</f>
        <v>272185.39</v>
      </c>
      <c r="AD61" s="19"/>
      <c r="AE61" s="28">
        <v>185472.7</v>
      </c>
      <c r="AF61" s="12"/>
      <c r="AG61" s="12"/>
      <c r="AH61" s="12"/>
      <c r="AI61" s="19"/>
      <c r="AJ61" s="19"/>
      <c r="AK61" s="19"/>
      <c r="AL61" s="19"/>
      <c r="AM61" s="12"/>
      <c r="AN61" s="12"/>
      <c r="AO61" s="12"/>
      <c r="AP61" s="12"/>
      <c r="AQ61" s="39"/>
      <c r="AR61" s="39"/>
    </row>
    <row r="62" spans="1:44" x14ac:dyDescent="0.25">
      <c r="A62" s="109" t="s">
        <v>10</v>
      </c>
      <c r="B62" s="110"/>
      <c r="C62" s="1"/>
      <c r="D62" s="1"/>
      <c r="E62" s="1"/>
      <c r="F62" s="1"/>
      <c r="G62" s="1">
        <v>-67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-94199.79</v>
      </c>
      <c r="Z62" s="1"/>
      <c r="AA62" s="19">
        <f>129635</f>
        <v>129635</v>
      </c>
      <c r="AB62" s="19"/>
      <c r="AC62" s="19"/>
      <c r="AD62" s="19"/>
      <c r="AE62" s="28"/>
      <c r="AF62" s="12"/>
      <c r="AG62" s="12"/>
      <c r="AH62" s="12"/>
      <c r="AI62" s="19"/>
      <c r="AJ62" s="19"/>
      <c r="AK62" s="19"/>
      <c r="AL62" s="19"/>
      <c r="AM62" s="12"/>
      <c r="AN62" s="12"/>
      <c r="AO62" s="12"/>
      <c r="AP62" s="12"/>
      <c r="AQ62" s="39"/>
      <c r="AR62" s="39"/>
    </row>
    <row r="63" spans="1:44" x14ac:dyDescent="0.25">
      <c r="A63" s="109" t="s">
        <v>16</v>
      </c>
      <c r="B63" s="110"/>
      <c r="C63" s="1"/>
      <c r="D63" s="1"/>
      <c r="E63" s="1">
        <v>2480.69</v>
      </c>
      <c r="F63" s="1"/>
      <c r="G63" s="1">
        <f>10138.57+19589.11</f>
        <v>29727.68</v>
      </c>
      <c r="H63" s="1"/>
      <c r="I63" s="1">
        <f>14183.88+15638.22</f>
        <v>29822.1</v>
      </c>
      <c r="J63" s="1"/>
      <c r="K63" s="1"/>
      <c r="L63" s="1"/>
      <c r="M63" s="1"/>
      <c r="N63" s="1"/>
      <c r="O63" s="1">
        <v>4458.26</v>
      </c>
      <c r="P63" s="1"/>
      <c r="Q63" s="1"/>
      <c r="R63" s="1"/>
      <c r="S63" s="1"/>
      <c r="T63" s="1"/>
      <c r="U63" s="1"/>
      <c r="V63" s="1"/>
      <c r="W63" s="1"/>
      <c r="X63" s="1"/>
      <c r="Y63" s="1">
        <v>65212.44</v>
      </c>
      <c r="Z63" s="1"/>
      <c r="AA63" s="19">
        <v>153588.26999999999</v>
      </c>
      <c r="AB63" s="19">
        <v>153588.26999999999</v>
      </c>
      <c r="AC63" s="19">
        <v>1100</v>
      </c>
      <c r="AD63" s="19"/>
      <c r="AE63" s="28">
        <v>316.54000000000002</v>
      </c>
      <c r="AF63" s="12"/>
      <c r="AG63" s="12"/>
      <c r="AH63" s="12"/>
      <c r="AI63" s="19"/>
      <c r="AJ63" s="19"/>
      <c r="AK63" s="19"/>
      <c r="AL63" s="19"/>
      <c r="AM63" s="12"/>
      <c r="AN63" s="12"/>
      <c r="AO63" s="12"/>
      <c r="AP63" s="12"/>
      <c r="AQ63" s="39"/>
      <c r="AR63" s="39"/>
    </row>
    <row r="64" spans="1:44" x14ac:dyDescent="0.25">
      <c r="A64" s="111" t="s">
        <v>15</v>
      </c>
      <c r="B64" s="112"/>
      <c r="C64" s="115">
        <v>-1470.89</v>
      </c>
      <c r="D64" s="115">
        <f>SUM(D66:D70)</f>
        <v>0</v>
      </c>
      <c r="E64" s="115">
        <f t="shared" ref="E64:AB64" si="13">SUM(E66:E70)</f>
        <v>741.25</v>
      </c>
      <c r="F64" s="115">
        <f t="shared" si="13"/>
        <v>0</v>
      </c>
      <c r="G64" s="115">
        <f t="shared" si="13"/>
        <v>0</v>
      </c>
      <c r="H64" s="115">
        <f t="shared" si="13"/>
        <v>0</v>
      </c>
      <c r="I64" s="115">
        <f t="shared" si="13"/>
        <v>0</v>
      </c>
      <c r="J64" s="115">
        <f t="shared" si="13"/>
        <v>0</v>
      </c>
      <c r="K64" s="115">
        <f t="shared" si="13"/>
        <v>0</v>
      </c>
      <c r="L64" s="115">
        <f t="shared" si="13"/>
        <v>0</v>
      </c>
      <c r="M64" s="115">
        <f t="shared" si="13"/>
        <v>0</v>
      </c>
      <c r="N64" s="115">
        <f t="shared" si="13"/>
        <v>0</v>
      </c>
      <c r="O64" s="115">
        <f t="shared" si="13"/>
        <v>0</v>
      </c>
      <c r="P64" s="115">
        <f t="shared" si="13"/>
        <v>0</v>
      </c>
      <c r="Q64" s="115">
        <f t="shared" si="13"/>
        <v>0</v>
      </c>
      <c r="R64" s="115">
        <f t="shared" si="13"/>
        <v>0</v>
      </c>
      <c r="S64" s="115">
        <f t="shared" si="13"/>
        <v>0</v>
      </c>
      <c r="T64" s="115">
        <f t="shared" si="13"/>
        <v>0</v>
      </c>
      <c r="U64" s="115">
        <f t="shared" si="13"/>
        <v>0</v>
      </c>
      <c r="V64" s="115">
        <f t="shared" si="13"/>
        <v>0</v>
      </c>
      <c r="W64" s="115">
        <f t="shared" si="13"/>
        <v>0</v>
      </c>
      <c r="X64" s="115">
        <f t="shared" si="13"/>
        <v>0</v>
      </c>
      <c r="Y64" s="115">
        <f t="shared" si="13"/>
        <v>0</v>
      </c>
      <c r="Z64" s="115">
        <f t="shared" si="13"/>
        <v>0</v>
      </c>
      <c r="AA64" s="128">
        <f>AA66+AA67+AA68+AA69+AA70</f>
        <v>84248.31</v>
      </c>
      <c r="AB64" s="128">
        <f t="shared" si="13"/>
        <v>0</v>
      </c>
      <c r="AC64" s="128">
        <f>SUM(AC66:AC70)</f>
        <v>130082.92000000001</v>
      </c>
      <c r="AD64" s="128">
        <f>SUM(AD66:AD70)</f>
        <v>0</v>
      </c>
      <c r="AE64" s="126">
        <f t="shared" ref="AE64:AL64" si="14">AE66+AE67+AE68+AE69+AE70</f>
        <v>122664.07</v>
      </c>
      <c r="AF64" s="126">
        <f t="shared" si="14"/>
        <v>0</v>
      </c>
      <c r="AG64" s="126">
        <f t="shared" si="14"/>
        <v>0</v>
      </c>
      <c r="AH64" s="126">
        <f t="shared" si="14"/>
        <v>0</v>
      </c>
      <c r="AI64" s="122">
        <f t="shared" si="14"/>
        <v>45365.68</v>
      </c>
      <c r="AJ64" s="122">
        <f t="shared" si="14"/>
        <v>0</v>
      </c>
      <c r="AK64" s="122">
        <v>0</v>
      </c>
      <c r="AL64" s="122">
        <f t="shared" si="14"/>
        <v>0</v>
      </c>
      <c r="AM64" s="122">
        <f>AM66+AM67+AM68+AM69+AM70</f>
        <v>63930.25</v>
      </c>
      <c r="AN64" s="122">
        <f>AN66+AN67+AN68+AN69+AN70</f>
        <v>0</v>
      </c>
      <c r="AO64" s="122">
        <f>AO66+AO67+AO68+AO69+AO70</f>
        <v>0</v>
      </c>
      <c r="AP64" s="122">
        <f>AP66+AP67+AP68+AP69+AP70</f>
        <v>0</v>
      </c>
      <c r="AQ64" s="116">
        <f>AM64/AI64-1</f>
        <v>0.40922058260782168</v>
      </c>
      <c r="AR64" s="116" t="e">
        <f>AO64/AK64-1</f>
        <v>#DIV/0!</v>
      </c>
    </row>
    <row r="65" spans="1:44" x14ac:dyDescent="0.25">
      <c r="A65" s="113"/>
      <c r="B65" s="11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25"/>
      <c r="AB65" s="125"/>
      <c r="AC65" s="131"/>
      <c r="AD65" s="125"/>
      <c r="AE65" s="127"/>
      <c r="AF65" s="127"/>
      <c r="AG65" s="127"/>
      <c r="AH65" s="127"/>
      <c r="AI65" s="123"/>
      <c r="AJ65" s="123"/>
      <c r="AK65" s="123"/>
      <c r="AL65" s="123"/>
      <c r="AM65" s="123"/>
      <c r="AN65" s="123"/>
      <c r="AO65" s="123"/>
      <c r="AP65" s="123"/>
      <c r="AQ65" s="117"/>
      <c r="AR65" s="117"/>
    </row>
    <row r="66" spans="1:44" x14ac:dyDescent="0.25">
      <c r="A66" s="109" t="s">
        <v>11</v>
      </c>
      <c r="B66" s="110"/>
      <c r="C66" s="2"/>
      <c r="D66" s="2"/>
      <c r="E66" s="2">
        <v>741.25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6"/>
      <c r="AB66" s="16"/>
      <c r="AC66" s="16">
        <v>5034.4399999999996</v>
      </c>
      <c r="AD66" s="13"/>
      <c r="AE66" s="23">
        <v>354.61</v>
      </c>
      <c r="AF66" s="23"/>
      <c r="AG66" s="23"/>
      <c r="AH66" s="23"/>
      <c r="AI66" s="16"/>
      <c r="AJ66" s="16"/>
      <c r="AK66" s="16"/>
      <c r="AL66" s="16"/>
      <c r="AM66" s="16"/>
      <c r="AN66" s="16"/>
      <c r="AO66" s="16"/>
      <c r="AP66" s="16"/>
      <c r="AQ66" s="24"/>
      <c r="AR66" s="24"/>
    </row>
    <row r="67" spans="1:44" x14ac:dyDescent="0.25">
      <c r="A67" s="109" t="s">
        <v>8</v>
      </c>
      <c r="B67" s="110"/>
      <c r="C67" s="2"/>
      <c r="D67" s="2"/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">
        <v>53091.66</v>
      </c>
      <c r="AB67" s="16"/>
      <c r="AC67" s="16">
        <v>81730</v>
      </c>
      <c r="AD67" s="13"/>
      <c r="AE67" s="23">
        <v>82376</v>
      </c>
      <c r="AF67" s="23"/>
      <c r="AG67" s="23"/>
      <c r="AH67" s="23"/>
      <c r="AI67" s="16">
        <v>28290.47</v>
      </c>
      <c r="AJ67" s="16"/>
      <c r="AK67" s="16"/>
      <c r="AL67" s="16"/>
      <c r="AM67" s="16">
        <v>40520</v>
      </c>
      <c r="AN67" s="16"/>
      <c r="AO67" s="16"/>
      <c r="AP67" s="16"/>
      <c r="AQ67" s="24"/>
      <c r="AR67" s="24"/>
    </row>
    <row r="68" spans="1:44" x14ac:dyDescent="0.25">
      <c r="A68" s="109" t="s">
        <v>9</v>
      </c>
      <c r="B68" s="110"/>
      <c r="C68" s="2"/>
      <c r="D68" s="2"/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31156.65</v>
      </c>
      <c r="AB68" s="16"/>
      <c r="AC68" s="16">
        <v>43318.48</v>
      </c>
      <c r="AD68" s="13"/>
      <c r="AE68" s="23">
        <v>39933.46</v>
      </c>
      <c r="AF68" s="23"/>
      <c r="AG68" s="23"/>
      <c r="AH68" s="23"/>
      <c r="AI68" s="16"/>
      <c r="AJ68" s="16"/>
      <c r="AK68" s="16"/>
      <c r="AL68" s="16"/>
      <c r="AM68" s="16"/>
      <c r="AN68" s="16"/>
      <c r="AO68" s="16"/>
      <c r="AP68" s="16"/>
      <c r="AQ68" s="24"/>
      <c r="AR68" s="24"/>
    </row>
    <row r="69" spans="1:44" x14ac:dyDescent="0.25">
      <c r="A69" s="109" t="s">
        <v>10</v>
      </c>
      <c r="B69" s="1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3"/>
      <c r="AD69" s="13"/>
      <c r="AE69" s="13"/>
      <c r="AF69" s="13"/>
      <c r="AG69" s="13"/>
      <c r="AH69" s="13"/>
      <c r="AI69" s="16">
        <v>17075.21</v>
      </c>
      <c r="AJ69" s="16"/>
      <c r="AK69" s="16"/>
      <c r="AL69" s="16"/>
      <c r="AM69" s="16">
        <v>23410.25</v>
      </c>
      <c r="AN69" s="16"/>
      <c r="AO69" s="16"/>
      <c r="AP69" s="16"/>
      <c r="AQ69" s="24"/>
      <c r="AR69" s="24"/>
    </row>
    <row r="70" spans="1:44" x14ac:dyDescent="0.25">
      <c r="A70" s="109" t="s">
        <v>16</v>
      </c>
      <c r="B70" s="1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t="60" hidden="1" x14ac:dyDescent="0.25">
      <c r="A71" s="7" t="s">
        <v>25</v>
      </c>
      <c r="B71" s="7"/>
      <c r="C71" s="9">
        <v>3090165.46</v>
      </c>
      <c r="D71" s="9">
        <v>3090165.46</v>
      </c>
      <c r="E71" s="9">
        <f>SUM(E72:E74)</f>
        <v>0</v>
      </c>
      <c r="F71" s="9">
        <f>SUM(F72:F74)</f>
        <v>0</v>
      </c>
      <c r="G71" s="9">
        <f t="shared" ref="G71:Z71" si="15">SUM(G72:G74)</f>
        <v>0</v>
      </c>
      <c r="H71" s="9">
        <f t="shared" si="15"/>
        <v>0</v>
      </c>
      <c r="I71" s="9">
        <f t="shared" si="15"/>
        <v>0</v>
      </c>
      <c r="J71" s="9">
        <f t="shared" si="15"/>
        <v>0</v>
      </c>
      <c r="K71" s="9">
        <f t="shared" si="15"/>
        <v>0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t="shared" si="15"/>
        <v>0</v>
      </c>
      <c r="V71" s="9">
        <f t="shared" si="15"/>
        <v>0</v>
      </c>
      <c r="W71" s="9">
        <f t="shared" si="15"/>
        <v>0</v>
      </c>
      <c r="X71" s="9">
        <f t="shared" si="15"/>
        <v>0</v>
      </c>
      <c r="Y71" s="9">
        <f t="shared" si="15"/>
        <v>0</v>
      </c>
      <c r="Z71" s="9">
        <f t="shared" si="15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129">
        <v>0</v>
      </c>
      <c r="AR71" s="129">
        <v>0</v>
      </c>
    </row>
    <row r="72" spans="1:44" hidden="1" x14ac:dyDescent="0.25">
      <c r="A72" s="109" t="s">
        <v>10</v>
      </c>
      <c r="B72" s="132"/>
      <c r="C72" s="2"/>
      <c r="D72" s="2"/>
      <c r="E72" s="2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130"/>
      <c r="AR72" s="130"/>
    </row>
    <row r="73" spans="1:44" hidden="1" x14ac:dyDescent="0.25">
      <c r="A73" s="133" t="s">
        <v>24</v>
      </c>
      <c r="B73" s="132"/>
      <c r="C73" s="9">
        <f>4008760.53+5844431.63+14283.75+179317.37</f>
        <v>10046793.279999999</v>
      </c>
      <c r="D73" s="9">
        <f>989699.04+1910943.77</f>
        <v>2900642.81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32"/>
      <c r="AR73" s="32"/>
    </row>
    <row r="74" spans="1:44" hidden="1" x14ac:dyDescent="0.25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33" t="s">
        <v>12</v>
      </c>
      <c r="B75" s="132"/>
      <c r="C75" s="10">
        <f>C8+C15+C22+C29+C36+C43+C50+C57+C64+C71+C73</f>
        <v>94587677.819999993</v>
      </c>
      <c r="D75" s="10">
        <f>D8+D15+D22+D29+D36+D43+D50+D57+D64+D71+D73</f>
        <v>68008770.719999999</v>
      </c>
      <c r="E75" s="10">
        <f>E8+E15+E22+E29+E36+E43+E50+E57+E64+E71</f>
        <v>85864729.75999999</v>
      </c>
      <c r="F75" s="10">
        <f>F8+F15+F22+F29+F36+F43+F50+F57+F64+F71</f>
        <v>66510808.209999993</v>
      </c>
      <c r="G75" s="10">
        <f t="shared" ref="G75:Y75" si="16">G8+G15+G22+G29+G36+G43+G50+G57+G64+G71</f>
        <v>93511066.090000018</v>
      </c>
      <c r="H75" s="10">
        <f t="shared" si="16"/>
        <v>66963948.660000004</v>
      </c>
      <c r="I75" s="10">
        <f t="shared" si="16"/>
        <v>92440148.88000001</v>
      </c>
      <c r="J75" s="10">
        <f t="shared" si="16"/>
        <v>69371696.100000009</v>
      </c>
      <c r="K75" s="10">
        <f t="shared" si="16"/>
        <v>93692017.959999993</v>
      </c>
      <c r="L75" s="10">
        <f t="shared" si="16"/>
        <v>72494645.030000001</v>
      </c>
      <c r="M75" s="10">
        <f t="shared" si="16"/>
        <v>95350288.340000004</v>
      </c>
      <c r="N75" s="10">
        <f t="shared" si="16"/>
        <v>74699098.340000004</v>
      </c>
      <c r="O75" s="10">
        <f t="shared" si="16"/>
        <v>92952938.269999996</v>
      </c>
      <c r="P75" s="10">
        <f t="shared" si="16"/>
        <v>82357876.220000014</v>
      </c>
      <c r="Q75" s="10">
        <f t="shared" si="16"/>
        <v>97449531.209999979</v>
      </c>
      <c r="R75" s="10">
        <f t="shared" si="16"/>
        <v>74441297.569999993</v>
      </c>
      <c r="S75" s="10">
        <f t="shared" si="16"/>
        <v>96755275.489999995</v>
      </c>
      <c r="T75" s="10">
        <f t="shared" si="16"/>
        <v>74719949.890000001</v>
      </c>
      <c r="U75" s="10">
        <f t="shared" si="16"/>
        <v>97352731.719999984</v>
      </c>
      <c r="V75" s="10">
        <f t="shared" si="16"/>
        <v>74918061.669999987</v>
      </c>
      <c r="W75" s="10">
        <f t="shared" si="16"/>
        <v>103431682.53</v>
      </c>
      <c r="X75" s="10">
        <f t="shared" si="16"/>
        <v>71550048.36999999</v>
      </c>
      <c r="Y75" s="10">
        <f t="shared" si="16"/>
        <v>139512827.16999999</v>
      </c>
      <c r="Z75" s="10">
        <f>Z8+Z15+Z22+Z29+Z36+Z43+Z50+Z57+Z64+Z71</f>
        <v>116277638.82999998</v>
      </c>
      <c r="AA75" s="20">
        <f>AA8+AA15+AA22+AA29+AA36+AA43+AA50+AA57+AA64+AA71</f>
        <v>136792938.08000001</v>
      </c>
      <c r="AB75" s="20">
        <f>AB8+AB15+AB22+AB29+AB36+AB43+AB50+AB57+AB64+AB71</f>
        <v>43344897.469999999</v>
      </c>
      <c r="AC75" s="20">
        <f>AC8+AC15+AC22+AC29+AC36+AC43+AC50+AC57+AC64+AC71</f>
        <v>211086618.58000001</v>
      </c>
      <c r="AD75" s="20">
        <f>AD8+AD15+AD22+AD29+AD36+AD43+AD50+AD57+AD64+AD71</f>
        <v>119975047.31999999</v>
      </c>
      <c r="AE75" s="10">
        <f t="shared" ref="AE75:AL75" si="17">AE8+AE15+AE22+AE29+AE36+AE43+AE57+AE64</f>
        <v>210062888.64999998</v>
      </c>
      <c r="AF75" s="10">
        <f t="shared" si="17"/>
        <v>99495187.609999999</v>
      </c>
      <c r="AG75" s="10">
        <f t="shared" si="17"/>
        <v>86313931.799999982</v>
      </c>
      <c r="AH75" s="10">
        <f t="shared" si="17"/>
        <v>23141374.309999999</v>
      </c>
      <c r="AI75" s="20">
        <f t="shared" si="17"/>
        <v>128946217.90000001</v>
      </c>
      <c r="AJ75" s="20">
        <f t="shared" si="17"/>
        <v>32163242.649999999</v>
      </c>
      <c r="AK75" s="20">
        <f t="shared" si="17"/>
        <v>14429840.109999999</v>
      </c>
      <c r="AL75" s="20">
        <f t="shared" si="17"/>
        <v>0</v>
      </c>
      <c r="AM75" s="43">
        <f>AM8+AM15+AM22+AM29+AM36+AM43+AM57+AM64</f>
        <v>132925707.53999998</v>
      </c>
      <c r="AN75" s="43">
        <f>AN8+AN15+AN22+AN29+AN36+AN43+AN57+AN64</f>
        <v>42320071.650000006</v>
      </c>
      <c r="AO75" s="43">
        <f>AO8+AO15+AO22+AO29+AO36+AO43+AO57+AO64</f>
        <v>12435175.780000001</v>
      </c>
      <c r="AP75" s="43">
        <f>AP8+AP15+AP22+AP29+AP36+AP43+AP57+AP64</f>
        <v>0</v>
      </c>
      <c r="AQ75" s="35">
        <f>AM75/AI75-1</f>
        <v>3.0861623588573472E-2</v>
      </c>
      <c r="AR75" s="35">
        <f>AO75/AK75-1</f>
        <v>-0.13823190796256146</v>
      </c>
    </row>
    <row r="76" spans="1:44" x14ac:dyDescent="0.25">
      <c r="A76" s="109" t="s">
        <v>11</v>
      </c>
      <c r="B76" s="132"/>
      <c r="C76" s="2">
        <f t="shared" ref="C76:AD80" si="18">C10+C17+C24+C31+C38+C45+C52+C59+C66</f>
        <v>0</v>
      </c>
      <c r="D76" s="2">
        <f t="shared" si="18"/>
        <v>0</v>
      </c>
      <c r="E76" s="2">
        <f t="shared" si="18"/>
        <v>17953226.410000004</v>
      </c>
      <c r="F76" s="2">
        <f t="shared" si="18"/>
        <v>6382951.8399999943</v>
      </c>
      <c r="G76" s="2">
        <f t="shared" si="18"/>
        <v>19216097.170000002</v>
      </c>
      <c r="H76" s="2">
        <f t="shared" si="18"/>
        <v>6555841.7200000007</v>
      </c>
      <c r="I76" s="2">
        <f t="shared" si="18"/>
        <v>22865503.460000001</v>
      </c>
      <c r="J76" s="2">
        <f t="shared" si="18"/>
        <v>5864947.9199999999</v>
      </c>
      <c r="K76" s="2">
        <f t="shared" si="18"/>
        <v>17090632.079999998</v>
      </c>
      <c r="L76" s="2">
        <f t="shared" si="18"/>
        <v>5837825.0099999998</v>
      </c>
      <c r="M76" s="2">
        <f t="shared" si="18"/>
        <v>16099291.18</v>
      </c>
      <c r="N76" s="2">
        <f t="shared" si="18"/>
        <v>7784857.7199999997</v>
      </c>
      <c r="O76" s="2">
        <f t="shared" si="18"/>
        <v>16094244.300000001</v>
      </c>
      <c r="P76" s="2">
        <f t="shared" si="18"/>
        <v>7902977.2199999997</v>
      </c>
      <c r="Q76" s="2">
        <f t="shared" si="18"/>
        <v>20791692.359999999</v>
      </c>
      <c r="R76" s="2">
        <f t="shared" si="18"/>
        <v>7175180.9199999999</v>
      </c>
      <c r="S76" s="2">
        <f t="shared" si="18"/>
        <v>20070445.379999999</v>
      </c>
      <c r="T76" s="2">
        <f t="shared" si="18"/>
        <v>6987489.4900000002</v>
      </c>
      <c r="U76" s="2">
        <f t="shared" si="18"/>
        <v>24410984.270000003</v>
      </c>
      <c r="V76" s="2">
        <f t="shared" si="18"/>
        <v>4182653.4699999997</v>
      </c>
      <c r="W76" s="2">
        <f t="shared" si="18"/>
        <v>34358661.780000001</v>
      </c>
      <c r="X76" s="2">
        <f t="shared" si="18"/>
        <v>4756662.17</v>
      </c>
      <c r="Y76" s="2">
        <f t="shared" si="18"/>
        <v>37550191.880000003</v>
      </c>
      <c r="Z76" s="2">
        <f t="shared" si="18"/>
        <v>19969076.690000001</v>
      </c>
      <c r="AA76" s="16">
        <f t="shared" si="18"/>
        <v>78679277.219999999</v>
      </c>
      <c r="AB76" s="16">
        <f t="shared" si="18"/>
        <v>28544503.479999997</v>
      </c>
      <c r="AC76" s="16">
        <f t="shared" si="18"/>
        <v>97897786.019999981</v>
      </c>
      <c r="AD76" s="16">
        <f t="shared" si="18"/>
        <v>50095879.390000001</v>
      </c>
      <c r="AE76" s="23">
        <f t="shared" ref="AE76:AP80" si="19">AE10+AE17+AE24+AE31+AE38+AE45+AE59+AE66</f>
        <v>108565286.30999999</v>
      </c>
      <c r="AF76" s="23">
        <f>AF10+AF17+AF24+AF31+AF38+AF45+AF59+AF66</f>
        <v>66674832.540000007</v>
      </c>
      <c r="AG76" s="23">
        <f t="shared" si="19"/>
        <v>32847516.43</v>
      </c>
      <c r="AH76" s="23">
        <f t="shared" si="19"/>
        <v>21260780.43</v>
      </c>
      <c r="AI76" s="16">
        <f t="shared" si="19"/>
        <v>59026929.369999997</v>
      </c>
      <c r="AJ76" s="16">
        <f>AJ10+AJ17+AJ24+AJ31+AJ38+AJ45+AJ59+AJ66</f>
        <v>219982.55</v>
      </c>
      <c r="AK76" s="16">
        <f t="shared" si="19"/>
        <v>3777110.1399999997</v>
      </c>
      <c r="AL76" s="16">
        <f t="shared" si="19"/>
        <v>0</v>
      </c>
      <c r="AM76" s="16">
        <f>AM10+AM17+AM24+AM31+AM38+AM45+AM59+AM66</f>
        <v>55367356.890000008</v>
      </c>
      <c r="AN76" s="16">
        <f>AN10+AN17+AN24+AN31+AN38+AN45+AN59+AN66</f>
        <v>745285.22</v>
      </c>
      <c r="AO76" s="16">
        <f>AO10+AO17+AO24+AO31+AO38+AO45+AO59+AO66</f>
        <v>2920343.81</v>
      </c>
      <c r="AP76" s="16">
        <f>AP10+AP17+AP24+AP31+AP38+AP45+AP59+AP66</f>
        <v>0</v>
      </c>
      <c r="AQ76" s="36"/>
      <c r="AR76" s="36"/>
    </row>
    <row r="77" spans="1:44" x14ac:dyDescent="0.25">
      <c r="A77" s="109" t="s">
        <v>8</v>
      </c>
      <c r="B77" s="132"/>
      <c r="C77" s="2">
        <f t="shared" si="18"/>
        <v>0</v>
      </c>
      <c r="D77" s="2">
        <f t="shared" si="18"/>
        <v>0</v>
      </c>
      <c r="E77" s="2">
        <f t="shared" si="18"/>
        <v>0</v>
      </c>
      <c r="F77" s="2">
        <f t="shared" si="18"/>
        <v>0</v>
      </c>
      <c r="G77" s="2">
        <f t="shared" si="18"/>
        <v>1611249.67</v>
      </c>
      <c r="H77" s="2">
        <f t="shared" si="18"/>
        <v>0</v>
      </c>
      <c r="I77" s="2">
        <f t="shared" si="18"/>
        <v>1404831.87</v>
      </c>
      <c r="J77" s="2">
        <f t="shared" si="18"/>
        <v>0</v>
      </c>
      <c r="K77" s="2">
        <f t="shared" si="18"/>
        <v>2089553.3599999999</v>
      </c>
      <c r="L77" s="2">
        <f t="shared" si="18"/>
        <v>0</v>
      </c>
      <c r="M77" s="2">
        <f t="shared" si="18"/>
        <v>1291836.76</v>
      </c>
      <c r="N77" s="2">
        <f t="shared" si="18"/>
        <v>0</v>
      </c>
      <c r="O77" s="2">
        <f t="shared" si="18"/>
        <v>1343049.24</v>
      </c>
      <c r="P77" s="2">
        <f t="shared" si="18"/>
        <v>0</v>
      </c>
      <c r="Q77" s="2">
        <f t="shared" si="18"/>
        <v>1452525.99</v>
      </c>
      <c r="R77" s="2">
        <f t="shared" si="18"/>
        <v>0</v>
      </c>
      <c r="S77" s="2">
        <f t="shared" si="18"/>
        <v>1242140.78</v>
      </c>
      <c r="T77" s="2">
        <f t="shared" si="18"/>
        <v>0</v>
      </c>
      <c r="U77" s="2">
        <f t="shared" si="18"/>
        <v>1196585.6499999999</v>
      </c>
      <c r="V77" s="2">
        <f t="shared" si="18"/>
        <v>0</v>
      </c>
      <c r="W77" s="2">
        <f t="shared" si="18"/>
        <v>1283435.7</v>
      </c>
      <c r="X77" s="2">
        <f t="shared" si="18"/>
        <v>0</v>
      </c>
      <c r="Y77" s="2">
        <f t="shared" si="18"/>
        <v>0</v>
      </c>
      <c r="Z77" s="2">
        <f t="shared" si="18"/>
        <v>0</v>
      </c>
      <c r="AA77" s="16">
        <f t="shared" si="18"/>
        <v>28007459.789999999</v>
      </c>
      <c r="AB77" s="16">
        <f t="shared" si="18"/>
        <v>0</v>
      </c>
      <c r="AC77" s="16">
        <f t="shared" si="18"/>
        <v>33425614.419999998</v>
      </c>
      <c r="AD77" s="16">
        <f t="shared" si="18"/>
        <v>0</v>
      </c>
      <c r="AE77" s="23">
        <f t="shared" si="19"/>
        <v>33462185.5</v>
      </c>
      <c r="AF77" s="23">
        <f t="shared" si="19"/>
        <v>18386199.240000002</v>
      </c>
      <c r="AG77" s="23">
        <f t="shared" si="19"/>
        <v>0</v>
      </c>
      <c r="AH77" s="23">
        <f t="shared" si="19"/>
        <v>0</v>
      </c>
      <c r="AI77" s="16">
        <f t="shared" si="19"/>
        <v>36363970.560000002</v>
      </c>
      <c r="AJ77" s="16">
        <f t="shared" si="19"/>
        <v>19065790.949999999</v>
      </c>
      <c r="AK77" s="16">
        <f t="shared" si="19"/>
        <v>0</v>
      </c>
      <c r="AL77" s="16">
        <f t="shared" si="19"/>
        <v>0</v>
      </c>
      <c r="AM77" s="16">
        <f t="shared" si="19"/>
        <v>39528094.749999993</v>
      </c>
      <c r="AN77" s="16">
        <f t="shared" si="19"/>
        <v>23098702.819999997</v>
      </c>
      <c r="AO77" s="16">
        <f t="shared" si="19"/>
        <v>0</v>
      </c>
      <c r="AP77" s="16">
        <f t="shared" si="19"/>
        <v>0</v>
      </c>
      <c r="AQ77" s="37"/>
      <c r="AR77" s="37"/>
    </row>
    <row r="78" spans="1:44" x14ac:dyDescent="0.25">
      <c r="A78" s="109" t="s">
        <v>9</v>
      </c>
      <c r="B78" s="132"/>
      <c r="C78" s="2">
        <f t="shared" si="18"/>
        <v>0</v>
      </c>
      <c r="D78" s="2">
        <f t="shared" si="18"/>
        <v>0</v>
      </c>
      <c r="E78" s="2">
        <f t="shared" si="18"/>
        <v>5781112.8999999994</v>
      </c>
      <c r="F78" s="2">
        <f t="shared" si="18"/>
        <v>0</v>
      </c>
      <c r="G78" s="2">
        <f t="shared" si="18"/>
        <v>841993.46</v>
      </c>
      <c r="H78" s="2">
        <f t="shared" si="18"/>
        <v>0</v>
      </c>
      <c r="I78" s="2">
        <f t="shared" si="18"/>
        <v>730672.66</v>
      </c>
      <c r="J78" s="2">
        <f t="shared" si="18"/>
        <v>0</v>
      </c>
      <c r="K78" s="2">
        <f t="shared" si="18"/>
        <v>907890.05999999994</v>
      </c>
      <c r="L78" s="2">
        <f t="shared" si="18"/>
        <v>0</v>
      </c>
      <c r="M78" s="2">
        <f t="shared" si="18"/>
        <v>596611.02</v>
      </c>
      <c r="N78" s="2">
        <f t="shared" si="18"/>
        <v>0</v>
      </c>
      <c r="O78" s="2">
        <f t="shared" si="18"/>
        <v>806056.14</v>
      </c>
      <c r="P78" s="2">
        <f t="shared" si="18"/>
        <v>0</v>
      </c>
      <c r="Q78" s="2">
        <f t="shared" si="18"/>
        <v>910579.46000000008</v>
      </c>
      <c r="R78" s="2">
        <f t="shared" si="18"/>
        <v>0</v>
      </c>
      <c r="S78" s="2">
        <f t="shared" si="18"/>
        <v>832315.84</v>
      </c>
      <c r="T78" s="2">
        <f t="shared" si="18"/>
        <v>0</v>
      </c>
      <c r="U78" s="2">
        <f t="shared" si="18"/>
        <v>786043.03</v>
      </c>
      <c r="V78" s="2">
        <f t="shared" si="18"/>
        <v>0</v>
      </c>
      <c r="W78" s="2">
        <f t="shared" si="18"/>
        <v>782576.37000000011</v>
      </c>
      <c r="X78" s="2">
        <f t="shared" si="18"/>
        <v>0</v>
      </c>
      <c r="Y78" s="2">
        <f t="shared" si="18"/>
        <v>4770499.5100000007</v>
      </c>
      <c r="Z78" s="2">
        <f t="shared" si="18"/>
        <v>0</v>
      </c>
      <c r="AA78" s="16">
        <f t="shared" si="18"/>
        <v>11517101.640000001</v>
      </c>
      <c r="AB78" s="16">
        <f t="shared" si="18"/>
        <v>0</v>
      </c>
      <c r="AC78" s="16">
        <f t="shared" si="18"/>
        <v>17564868.849999998</v>
      </c>
      <c r="AD78" s="16">
        <f t="shared" si="18"/>
        <v>11291466.59</v>
      </c>
      <c r="AE78" s="23">
        <f t="shared" si="19"/>
        <v>25972037.23</v>
      </c>
      <c r="AF78" s="23">
        <f t="shared" si="19"/>
        <v>12978010.970000001</v>
      </c>
      <c r="AG78" s="23">
        <f t="shared" si="19"/>
        <v>14772077.07</v>
      </c>
      <c r="AH78" s="23">
        <f t="shared" si="19"/>
        <v>1220473.1199999999</v>
      </c>
      <c r="AI78" s="16">
        <f t="shared" si="19"/>
        <v>19092310.379999999</v>
      </c>
      <c r="AJ78" s="16">
        <f t="shared" si="19"/>
        <v>9924703.2199999988</v>
      </c>
      <c r="AK78" s="16">
        <f t="shared" si="19"/>
        <v>0</v>
      </c>
      <c r="AL78" s="16">
        <f t="shared" si="19"/>
        <v>0</v>
      </c>
      <c r="AM78" s="16">
        <f t="shared" si="19"/>
        <v>22387260.490000002</v>
      </c>
      <c r="AN78" s="16">
        <f t="shared" si="19"/>
        <v>14767152.740000002</v>
      </c>
      <c r="AO78" s="16">
        <f t="shared" si="19"/>
        <v>0</v>
      </c>
      <c r="AP78" s="16">
        <f t="shared" si="19"/>
        <v>0</v>
      </c>
      <c r="AQ78" s="37"/>
      <c r="AR78" s="37"/>
    </row>
    <row r="79" spans="1:44" x14ac:dyDescent="0.25">
      <c r="A79" s="109" t="s">
        <v>10</v>
      </c>
      <c r="B79" s="132"/>
      <c r="C79" s="2">
        <f t="shared" ref="C79:Z79" si="20">C13+C20+C27+C34+C41+C48+C55+C62+C69+C72</f>
        <v>0</v>
      </c>
      <c r="D79" s="2">
        <f t="shared" si="20"/>
        <v>0</v>
      </c>
      <c r="E79" s="2">
        <f t="shared" si="20"/>
        <v>60461371.310000002</v>
      </c>
      <c r="F79" s="2">
        <f t="shared" si="20"/>
        <v>58245420.57</v>
      </c>
      <c r="G79" s="2">
        <f t="shared" si="20"/>
        <v>69929562.310000002</v>
      </c>
      <c r="H79" s="2">
        <f t="shared" si="20"/>
        <v>58525671.140000001</v>
      </c>
      <c r="I79" s="2">
        <f t="shared" si="20"/>
        <v>65526882.990000002</v>
      </c>
      <c r="J79" s="2">
        <f t="shared" si="20"/>
        <v>61624312.380000003</v>
      </c>
      <c r="K79" s="2">
        <f t="shared" si="20"/>
        <v>71721506.659999996</v>
      </c>
      <c r="L79" s="2">
        <f t="shared" si="20"/>
        <v>64774384.220000006</v>
      </c>
      <c r="M79" s="2">
        <f t="shared" si="20"/>
        <v>75480113.579999998</v>
      </c>
      <c r="N79" s="2">
        <f t="shared" si="20"/>
        <v>65031804.82</v>
      </c>
      <c r="O79" s="2">
        <f t="shared" si="20"/>
        <v>72791361.200000003</v>
      </c>
      <c r="P79" s="2">
        <f t="shared" si="20"/>
        <v>72572463.200000003</v>
      </c>
      <c r="Q79" s="2">
        <f t="shared" si="20"/>
        <v>72380297.609999999</v>
      </c>
      <c r="R79" s="2">
        <f t="shared" si="20"/>
        <v>65383680.850000001</v>
      </c>
      <c r="S79" s="2">
        <f t="shared" si="20"/>
        <v>72695876.399999991</v>
      </c>
      <c r="T79" s="2">
        <f t="shared" si="20"/>
        <v>65850024.600000001</v>
      </c>
      <c r="U79" s="2">
        <f t="shared" si="20"/>
        <v>69041659.049999997</v>
      </c>
      <c r="V79" s="2">
        <f t="shared" si="20"/>
        <v>68852972.399999991</v>
      </c>
      <c r="W79" s="2">
        <f t="shared" si="20"/>
        <v>65102023.400000006</v>
      </c>
      <c r="X79" s="2">
        <f t="shared" si="20"/>
        <v>64910950.400000006</v>
      </c>
      <c r="Y79" s="2">
        <f t="shared" si="20"/>
        <v>66208215.299999997</v>
      </c>
      <c r="Z79" s="2">
        <f t="shared" si="20"/>
        <v>65394874.099999994</v>
      </c>
      <c r="AA79" s="16">
        <f t="shared" si="18"/>
        <v>14182522.93</v>
      </c>
      <c r="AB79" s="16">
        <f t="shared" si="18"/>
        <v>12430432.640000001</v>
      </c>
      <c r="AC79" s="16">
        <f t="shared" si="18"/>
        <v>21845555.419999998</v>
      </c>
      <c r="AD79" s="16">
        <f t="shared" si="18"/>
        <v>20453326.48</v>
      </c>
      <c r="AE79" s="23">
        <f t="shared" si="19"/>
        <v>8512543.2200000007</v>
      </c>
      <c r="AF79" s="23">
        <f t="shared" si="19"/>
        <v>93556.36</v>
      </c>
      <c r="AG79" s="23">
        <f t="shared" si="19"/>
        <v>7493731.0800000001</v>
      </c>
      <c r="AH79" s="23">
        <f t="shared" si="19"/>
        <v>0</v>
      </c>
      <c r="AI79" s="16">
        <f t="shared" si="19"/>
        <v>6592704.9900000012</v>
      </c>
      <c r="AJ79" s="16">
        <f t="shared" si="19"/>
        <v>92285.57</v>
      </c>
      <c r="AK79" s="16">
        <f t="shared" si="19"/>
        <v>5647572.7300000004</v>
      </c>
      <c r="AL79" s="16">
        <f t="shared" si="19"/>
        <v>0</v>
      </c>
      <c r="AM79" s="16">
        <f t="shared" si="19"/>
        <v>12052167.82</v>
      </c>
      <c r="AN79" s="16">
        <f t="shared" si="19"/>
        <v>118103.28</v>
      </c>
      <c r="AO79" s="16">
        <f t="shared" si="19"/>
        <v>9514831.9700000007</v>
      </c>
      <c r="AP79" s="16">
        <f t="shared" si="19"/>
        <v>0</v>
      </c>
      <c r="AQ79" s="37"/>
      <c r="AR79" s="37"/>
    </row>
    <row r="80" spans="1:44" x14ac:dyDescent="0.25">
      <c r="A80" s="109" t="s">
        <v>16</v>
      </c>
      <c r="B80" s="132"/>
      <c r="C80" s="2">
        <f>C14+C21+C28+C35+C42+C49+C56+C63+C70</f>
        <v>0</v>
      </c>
      <c r="D80" s="2">
        <f>D14+D21+D28+D35+D42+D49+D56+D63+D70</f>
        <v>0</v>
      </c>
      <c r="E80" s="2">
        <f t="shared" si="18"/>
        <v>1669019.14</v>
      </c>
      <c r="F80" s="2">
        <f t="shared" si="18"/>
        <v>1882435.7999999998</v>
      </c>
      <c r="G80" s="2">
        <f t="shared" si="18"/>
        <v>1912163.48</v>
      </c>
      <c r="H80" s="2">
        <f t="shared" si="18"/>
        <v>1882435.8</v>
      </c>
      <c r="I80" s="2">
        <f t="shared" si="18"/>
        <v>1912257.9000000001</v>
      </c>
      <c r="J80" s="2">
        <f t="shared" si="18"/>
        <v>1882435.8</v>
      </c>
      <c r="K80" s="2">
        <f t="shared" si="18"/>
        <v>1882435.8</v>
      </c>
      <c r="L80" s="2">
        <f t="shared" si="18"/>
        <v>1882435.8</v>
      </c>
      <c r="M80" s="2">
        <f t="shared" si="18"/>
        <v>1882435.8</v>
      </c>
      <c r="N80" s="2">
        <f t="shared" si="18"/>
        <v>1882435.8</v>
      </c>
      <c r="O80" s="2">
        <f t="shared" si="18"/>
        <v>1918227.3900000001</v>
      </c>
      <c r="P80" s="2">
        <f t="shared" si="18"/>
        <v>1882435.8</v>
      </c>
      <c r="Q80" s="2">
        <f t="shared" si="18"/>
        <v>1914435.79</v>
      </c>
      <c r="R80" s="2">
        <f t="shared" si="18"/>
        <v>1882435.8</v>
      </c>
      <c r="S80" s="2">
        <f t="shared" si="18"/>
        <v>1914497.09</v>
      </c>
      <c r="T80" s="2">
        <f t="shared" si="18"/>
        <v>1882435.8</v>
      </c>
      <c r="U80" s="2">
        <f t="shared" si="18"/>
        <v>1917459.72</v>
      </c>
      <c r="V80" s="2">
        <f t="shared" si="18"/>
        <v>1882435.8</v>
      </c>
      <c r="W80" s="2">
        <f t="shared" si="18"/>
        <v>1904985.28</v>
      </c>
      <c r="X80" s="2">
        <f t="shared" si="18"/>
        <v>1882435.8</v>
      </c>
      <c r="Y80" s="2">
        <f t="shared" si="18"/>
        <v>30983920.480000004</v>
      </c>
      <c r="Z80" s="2">
        <f t="shared" si="18"/>
        <v>30913688.039999999</v>
      </c>
      <c r="AA80" s="16">
        <f t="shared" si="18"/>
        <v>4406576.5</v>
      </c>
      <c r="AB80" s="16">
        <f t="shared" si="18"/>
        <v>2369961.35</v>
      </c>
      <c r="AC80" s="16">
        <f t="shared" si="18"/>
        <v>40352793.869999997</v>
      </c>
      <c r="AD80" s="16">
        <f t="shared" si="18"/>
        <v>38134374.859999999</v>
      </c>
      <c r="AE80" s="23">
        <f t="shared" si="19"/>
        <v>33550836.390000001</v>
      </c>
      <c r="AF80" s="23">
        <f t="shared" si="19"/>
        <v>1362588.5</v>
      </c>
      <c r="AG80" s="23">
        <f t="shared" si="19"/>
        <v>31200607.219999999</v>
      </c>
      <c r="AH80" s="23">
        <f t="shared" si="19"/>
        <v>660120.76</v>
      </c>
      <c r="AI80" s="16">
        <f t="shared" si="19"/>
        <v>7870302.5999999996</v>
      </c>
      <c r="AJ80" s="16">
        <f t="shared" si="19"/>
        <v>2860480.3600000003</v>
      </c>
      <c r="AK80" s="16">
        <f t="shared" si="19"/>
        <v>5005157.24</v>
      </c>
      <c r="AL80" s="16">
        <f t="shared" si="19"/>
        <v>0</v>
      </c>
      <c r="AM80" s="16">
        <f t="shared" si="19"/>
        <v>3590827.5900000003</v>
      </c>
      <c r="AN80" s="16">
        <f t="shared" si="19"/>
        <v>3590827.5900000003</v>
      </c>
      <c r="AO80" s="16">
        <f t="shared" si="19"/>
        <v>0</v>
      </c>
      <c r="AP80" s="16">
        <f t="shared" si="19"/>
        <v>0</v>
      </c>
      <c r="AQ80" s="37"/>
      <c r="AR80" s="37"/>
    </row>
    <row r="81" spans="1:44" x14ac:dyDescent="0.25">
      <c r="A81" s="133" t="s">
        <v>20</v>
      </c>
      <c r="B81" s="132"/>
      <c r="C81" s="3">
        <v>19700824</v>
      </c>
      <c r="D81" s="3"/>
      <c r="E81" s="3">
        <v>30646350</v>
      </c>
      <c r="F81" s="3"/>
      <c r="G81" s="3">
        <v>30646350</v>
      </c>
      <c r="H81" s="3"/>
      <c r="I81" s="3">
        <v>30646350</v>
      </c>
      <c r="J81" s="3"/>
      <c r="K81" s="3">
        <v>30646350</v>
      </c>
      <c r="L81" s="3"/>
      <c r="M81" s="3">
        <v>30646350</v>
      </c>
      <c r="N81" s="3"/>
      <c r="O81" s="3">
        <v>30646350</v>
      </c>
      <c r="P81" s="3"/>
      <c r="Q81" s="3">
        <v>30646350</v>
      </c>
      <c r="R81" s="3"/>
      <c r="S81" s="3">
        <v>39646350</v>
      </c>
      <c r="T81" s="3"/>
      <c r="U81" s="3">
        <v>39646350</v>
      </c>
      <c r="V81" s="3"/>
      <c r="W81" s="3">
        <v>39646350</v>
      </c>
      <c r="X81" s="3"/>
      <c r="Y81" s="3">
        <v>39592849</v>
      </c>
      <c r="Z81" s="3"/>
      <c r="AA81" s="22">
        <v>43884741</v>
      </c>
      <c r="AB81" s="18"/>
      <c r="AC81" s="22">
        <v>38729175</v>
      </c>
      <c r="AD81" s="18"/>
      <c r="AE81" s="3">
        <v>15529000</v>
      </c>
      <c r="AF81" s="18"/>
      <c r="AG81" s="18"/>
      <c r="AH81" s="18"/>
      <c r="AI81" s="22">
        <v>1250000</v>
      </c>
      <c r="AJ81" s="22"/>
      <c r="AK81" s="22"/>
      <c r="AL81" s="22"/>
      <c r="AM81" s="22">
        <v>625000</v>
      </c>
      <c r="AN81" s="22"/>
      <c r="AO81" s="22"/>
      <c r="AP81" s="22"/>
      <c r="AQ81" s="37"/>
      <c r="AR81" s="37"/>
    </row>
    <row r="82" spans="1:44" x14ac:dyDescent="0.25">
      <c r="A82" s="133" t="s">
        <v>21</v>
      </c>
      <c r="B82" s="132"/>
      <c r="C82" s="3">
        <f t="shared" ref="C82:AA82" si="21">C75+C81</f>
        <v>114288501.81999999</v>
      </c>
      <c r="D82" s="3">
        <f t="shared" si="21"/>
        <v>68008770.719999999</v>
      </c>
      <c r="E82" s="3">
        <f t="shared" si="21"/>
        <v>116511079.75999999</v>
      </c>
      <c r="F82" s="3">
        <f t="shared" si="21"/>
        <v>66510808.209999993</v>
      </c>
      <c r="G82" s="3">
        <f t="shared" si="21"/>
        <v>124157416.09000002</v>
      </c>
      <c r="H82" s="3">
        <f t="shared" si="21"/>
        <v>66963948.660000004</v>
      </c>
      <c r="I82" s="3">
        <f t="shared" si="21"/>
        <v>123086498.88000001</v>
      </c>
      <c r="J82" s="3">
        <f t="shared" si="21"/>
        <v>69371696.100000009</v>
      </c>
      <c r="K82" s="3">
        <f t="shared" si="21"/>
        <v>124338367.95999999</v>
      </c>
      <c r="L82" s="3">
        <f t="shared" si="21"/>
        <v>72494645.030000001</v>
      </c>
      <c r="M82" s="3">
        <f t="shared" si="21"/>
        <v>125996638.34</v>
      </c>
      <c r="N82" s="3">
        <f t="shared" si="21"/>
        <v>74699098.340000004</v>
      </c>
      <c r="O82" s="3">
        <f t="shared" si="21"/>
        <v>123599288.27</v>
      </c>
      <c r="P82" s="3">
        <f t="shared" si="21"/>
        <v>82357876.220000014</v>
      </c>
      <c r="Q82" s="3">
        <f t="shared" si="21"/>
        <v>128095881.20999998</v>
      </c>
      <c r="R82" s="3">
        <f t="shared" si="21"/>
        <v>74441297.569999993</v>
      </c>
      <c r="S82" s="3">
        <f t="shared" si="21"/>
        <v>136401625.49000001</v>
      </c>
      <c r="T82" s="3">
        <f t="shared" si="21"/>
        <v>74719949.890000001</v>
      </c>
      <c r="U82" s="3">
        <f t="shared" si="21"/>
        <v>136999081.71999997</v>
      </c>
      <c r="V82" s="3">
        <f t="shared" si="21"/>
        <v>74918061.669999987</v>
      </c>
      <c r="W82" s="3">
        <f t="shared" si="21"/>
        <v>143078032.53</v>
      </c>
      <c r="X82" s="3">
        <f t="shared" si="21"/>
        <v>71550048.36999999</v>
      </c>
      <c r="Y82" s="3">
        <f t="shared" si="21"/>
        <v>179105676.16999999</v>
      </c>
      <c r="Z82" s="3">
        <f t="shared" si="21"/>
        <v>116277638.82999998</v>
      </c>
      <c r="AA82" s="22">
        <f t="shared" si="21"/>
        <v>180677679.08000001</v>
      </c>
      <c r="AB82" s="22">
        <f>AB75+AB81</f>
        <v>43344897.469999999</v>
      </c>
      <c r="AC82" s="22">
        <f t="shared" ref="AC82:AP82" si="22">AC75+AC81</f>
        <v>249815793.58000001</v>
      </c>
      <c r="AD82" s="22">
        <f t="shared" si="22"/>
        <v>119975047.31999999</v>
      </c>
      <c r="AE82" s="3">
        <f t="shared" si="22"/>
        <v>225591888.64999998</v>
      </c>
      <c r="AF82" s="3">
        <f t="shared" si="22"/>
        <v>99495187.609999999</v>
      </c>
      <c r="AG82" s="3">
        <f t="shared" si="22"/>
        <v>86313931.799999982</v>
      </c>
      <c r="AH82" s="3">
        <f t="shared" si="22"/>
        <v>23141374.309999999</v>
      </c>
      <c r="AI82" s="22">
        <f t="shared" si="22"/>
        <v>130196217.90000001</v>
      </c>
      <c r="AJ82" s="22">
        <f t="shared" si="22"/>
        <v>32163242.649999999</v>
      </c>
      <c r="AK82" s="22">
        <f t="shared" si="22"/>
        <v>14429840.109999999</v>
      </c>
      <c r="AL82" s="22">
        <f t="shared" si="22"/>
        <v>0</v>
      </c>
      <c r="AM82" s="22">
        <f t="shared" si="22"/>
        <v>133550707.53999998</v>
      </c>
      <c r="AN82" s="22">
        <f t="shared" si="22"/>
        <v>42320071.650000006</v>
      </c>
      <c r="AO82" s="22">
        <f t="shared" si="22"/>
        <v>12435175.780000001</v>
      </c>
      <c r="AP82" s="22">
        <f t="shared" si="22"/>
        <v>0</v>
      </c>
      <c r="AQ82" s="36">
        <f>AM82/AI82-1</f>
        <v>2.5764877767620487E-2</v>
      </c>
      <c r="AR82" s="36">
        <f>AO82/AK82-1</f>
        <v>-0.13823190796256146</v>
      </c>
    </row>
    <row r="83" spans="1:44" x14ac:dyDescent="0.25">
      <c r="A83" s="109" t="s">
        <v>22</v>
      </c>
      <c r="B83" s="13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21"/>
      <c r="AN83" s="21"/>
      <c r="AO83" s="21"/>
      <c r="AP83" s="21"/>
      <c r="AQ83" s="21"/>
      <c r="AR83" s="21"/>
    </row>
    <row r="84" spans="1:44" x14ac:dyDescent="0.25">
      <c r="A84" s="109" t="s">
        <v>27</v>
      </c>
      <c r="B84" s="132"/>
      <c r="C84" s="4">
        <v>102575991</v>
      </c>
      <c r="D84" s="4">
        <v>63430848.460000001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x14ac:dyDescent="0.25">
      <c r="A85" s="109" t="s">
        <v>26</v>
      </c>
      <c r="B85" s="132"/>
      <c r="C85" s="4">
        <f>C82-C84</f>
        <v>11712510.819999993</v>
      </c>
      <c r="D85" s="4">
        <f>D82-D84</f>
        <v>4577922.2599999979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x14ac:dyDescent="0.25">
      <c r="A86" s="109" t="s">
        <v>40</v>
      </c>
      <c r="B86" s="13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1">
        <v>2369961.35</v>
      </c>
      <c r="AB86" s="21">
        <v>2369961.35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</sheetData>
  <mergeCells count="452"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Q71:AQ72"/>
    <mergeCell ref="AR71:AR72"/>
    <mergeCell ref="A72:B72"/>
    <mergeCell ref="A73:B73"/>
    <mergeCell ref="AP64:AP65"/>
    <mergeCell ref="AQ64:AQ65"/>
    <mergeCell ref="AR64:AR65"/>
    <mergeCell ref="A66:B66"/>
    <mergeCell ref="A67:B67"/>
    <mergeCell ref="A68:B68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F64:F65"/>
    <mergeCell ref="G64:G65"/>
    <mergeCell ref="H64:H65"/>
    <mergeCell ref="I64:I65"/>
    <mergeCell ref="J64:J65"/>
    <mergeCell ref="K64:K65"/>
    <mergeCell ref="A62:B62"/>
    <mergeCell ref="A63:B63"/>
    <mergeCell ref="A64:B65"/>
    <mergeCell ref="C64:C65"/>
    <mergeCell ref="D64:D65"/>
    <mergeCell ref="E64:E65"/>
    <mergeCell ref="AP57:AP58"/>
    <mergeCell ref="AQ57:AQ58"/>
    <mergeCell ref="AR57:AR58"/>
    <mergeCell ref="A59:B59"/>
    <mergeCell ref="A60:B60"/>
    <mergeCell ref="A61:B61"/>
    <mergeCell ref="AJ57:AJ58"/>
    <mergeCell ref="AK57:AK58"/>
    <mergeCell ref="AL57:AL58"/>
    <mergeCell ref="AM57:AM58"/>
    <mergeCell ref="AN57:AN58"/>
    <mergeCell ref="AO57:AO58"/>
    <mergeCell ref="AD57:AD58"/>
    <mergeCell ref="AE57:AE58"/>
    <mergeCell ref="AF57:AF58"/>
    <mergeCell ref="AG57:AG58"/>
    <mergeCell ref="AH57:AH58"/>
    <mergeCell ref="AI57:AI58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A55:B55"/>
    <mergeCell ref="A56:B56"/>
    <mergeCell ref="A57:B58"/>
    <mergeCell ref="C57:C58"/>
    <mergeCell ref="D57:D58"/>
    <mergeCell ref="E57:E58"/>
    <mergeCell ref="Z50:Z51"/>
    <mergeCell ref="AQ50:AQ51"/>
    <mergeCell ref="AR50:AR51"/>
    <mergeCell ref="A52:B52"/>
    <mergeCell ref="A53:B53"/>
    <mergeCell ref="A54:B54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50:B51"/>
    <mergeCell ref="C50:C51"/>
    <mergeCell ref="D50:D51"/>
    <mergeCell ref="E50:E51"/>
    <mergeCell ref="F50:F51"/>
    <mergeCell ref="G50:G51"/>
    <mergeCell ref="AR43:AR44"/>
    <mergeCell ref="A45:B45"/>
    <mergeCell ref="A46:B46"/>
    <mergeCell ref="A47:B47"/>
    <mergeCell ref="A48:B48"/>
    <mergeCell ref="A49:B49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43:B44"/>
    <mergeCell ref="C43:C44"/>
    <mergeCell ref="D43:D44"/>
    <mergeCell ref="E43:E44"/>
    <mergeCell ref="F43:F44"/>
    <mergeCell ref="G43:G44"/>
    <mergeCell ref="AR36:AR37"/>
    <mergeCell ref="A38:B38"/>
    <mergeCell ref="A39:B39"/>
    <mergeCell ref="A40:B40"/>
    <mergeCell ref="A41:B41"/>
    <mergeCell ref="A42:B42"/>
    <mergeCell ref="AL36:AL37"/>
    <mergeCell ref="AM36:AM37"/>
    <mergeCell ref="AN36:AN37"/>
    <mergeCell ref="AO36:AO37"/>
    <mergeCell ref="AP36:AP37"/>
    <mergeCell ref="AQ36:AQ37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B37"/>
    <mergeCell ref="C36:C37"/>
    <mergeCell ref="D36:D37"/>
    <mergeCell ref="E36:E37"/>
    <mergeCell ref="F36:F37"/>
    <mergeCell ref="G36:G37"/>
    <mergeCell ref="AR29:AR30"/>
    <mergeCell ref="A31:B31"/>
    <mergeCell ref="A32:B32"/>
    <mergeCell ref="A33:B33"/>
    <mergeCell ref="A34:B34"/>
    <mergeCell ref="A35:B35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AR22:AR23"/>
    <mergeCell ref="A24:B24"/>
    <mergeCell ref="A25:B25"/>
    <mergeCell ref="A26:B26"/>
    <mergeCell ref="A27:B27"/>
    <mergeCell ref="A28:B28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B23"/>
    <mergeCell ref="C22:C23"/>
    <mergeCell ref="D22:D23"/>
    <mergeCell ref="E22:E23"/>
    <mergeCell ref="F22:F23"/>
    <mergeCell ref="G22:G23"/>
    <mergeCell ref="AR15:AR16"/>
    <mergeCell ref="A17:B17"/>
    <mergeCell ref="A18:B18"/>
    <mergeCell ref="A19:B19"/>
    <mergeCell ref="A20:B20"/>
    <mergeCell ref="A21:B21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15:B16"/>
    <mergeCell ref="C15:C16"/>
    <mergeCell ref="D15:D16"/>
    <mergeCell ref="E15:E16"/>
    <mergeCell ref="F15:F16"/>
    <mergeCell ref="G15:G16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Y8:Y9"/>
    <mergeCell ref="N8:N9"/>
    <mergeCell ref="O8:O9"/>
    <mergeCell ref="W8:W9"/>
    <mergeCell ref="X8:X9"/>
    <mergeCell ref="P8:P9"/>
    <mergeCell ref="Q8:Q9"/>
    <mergeCell ref="R8:R9"/>
    <mergeCell ref="S8:S9"/>
    <mergeCell ref="AR8:AR9"/>
    <mergeCell ref="A10:B10"/>
    <mergeCell ref="AQ8:AQ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R6"/>
    <mergeCell ref="Y5:Z6"/>
    <mergeCell ref="AA5:AB6"/>
    <mergeCell ref="AC5:AD6"/>
    <mergeCell ref="AE5:AH6"/>
    <mergeCell ref="AI5:AL6"/>
    <mergeCell ref="AM5:AP6"/>
    <mergeCell ref="S5:T6"/>
    <mergeCell ref="U5:V6"/>
    <mergeCell ref="W5:X6"/>
  </mergeCells>
  <pageMargins left="0.7" right="0.7" top="0.75" bottom="0.75" header="0.3" footer="0.3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86"/>
  <sheetViews>
    <sheetView workbookViewId="0">
      <selection sqref="A1:XFD1048576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38" width="14" customWidth="1"/>
    <col min="39" max="39" width="16" customWidth="1"/>
    <col min="40" max="42" width="14" customWidth="1"/>
    <col min="44" max="44" width="9.42578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43647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43472460.81000001</v>
      </c>
      <c r="AN8" s="120">
        <f>AN10+AN11+AN12+AN13+AN14</f>
        <v>1979521.83</v>
      </c>
      <c r="AO8" s="120">
        <f>AO10+AO11+AO12+AO13+AO14</f>
        <v>1486477.5</v>
      </c>
      <c r="AP8" s="120">
        <f>AP10+AP11+AP12+AP13+AP14</f>
        <v>474477.5</v>
      </c>
      <c r="AQ8" s="116">
        <f>AM8/AI8-1</f>
        <v>2.6898416288138272E-2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45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f>2000091.37+33201750.37+288659.63+2870067.1+6122.02</f>
        <v>38366690.49000001</v>
      </c>
      <c r="AN10" s="19">
        <f>33911.76+1671630.81</f>
        <v>1705542.57</v>
      </c>
      <c r="AO10" s="19">
        <f>12000+474477.5+1000000</f>
        <v>1486477.5</v>
      </c>
      <c r="AP10" s="19">
        <v>474477.5</v>
      </c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f>1937594.27+1393032.02+241699.46+48057.89</f>
        <v>3620383.64</v>
      </c>
      <c r="AN11" s="19">
        <v>174036.3</v>
      </c>
      <c r="AO11" s="19"/>
      <c r="AP11" s="19"/>
      <c r="AQ11" s="34"/>
      <c r="AR11" s="34"/>
    </row>
    <row r="12" spans="1:44" ht="30.75" customHeight="1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f>1014095.48+333624.68+115603.03+22063.49</f>
        <v>1485386.68</v>
      </c>
      <c r="AN13" s="19">
        <v>99942.96</v>
      </c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11" t="s">
        <v>1</v>
      </c>
      <c r="B15" s="112"/>
      <c r="C15" s="115">
        <f>SUM(C17:C21)</f>
        <v>0</v>
      </c>
      <c r="D15" s="115">
        <f>SUM(D17:D21)</f>
        <v>0</v>
      </c>
      <c r="E15" s="115">
        <f t="shared" ref="E15:AD15" si="1">SUM(E17:E21)</f>
        <v>35747.5</v>
      </c>
      <c r="F15" s="115">
        <f t="shared" si="1"/>
        <v>0</v>
      </c>
      <c r="G15" s="115">
        <f t="shared" si="1"/>
        <v>0</v>
      </c>
      <c r="H15" s="115">
        <f t="shared" si="1"/>
        <v>0</v>
      </c>
      <c r="I15" s="115">
        <f t="shared" si="1"/>
        <v>0</v>
      </c>
      <c r="J15" s="115">
        <f t="shared" si="1"/>
        <v>0</v>
      </c>
      <c r="K15" s="115">
        <f t="shared" si="1"/>
        <v>120756.41</v>
      </c>
      <c r="L15" s="115">
        <f t="shared" si="1"/>
        <v>0</v>
      </c>
      <c r="M15" s="115">
        <f t="shared" si="1"/>
        <v>144077.24</v>
      </c>
      <c r="N15" s="115">
        <f t="shared" si="1"/>
        <v>0</v>
      </c>
      <c r="O15" s="115">
        <f t="shared" si="1"/>
        <v>122267.09</v>
      </c>
      <c r="P15" s="115">
        <f t="shared" si="1"/>
        <v>0</v>
      </c>
      <c r="Q15" s="115">
        <f t="shared" si="1"/>
        <v>81760.240000000005</v>
      </c>
      <c r="R15" s="115">
        <f t="shared" si="1"/>
        <v>0</v>
      </c>
      <c r="S15" s="115">
        <f t="shared" si="1"/>
        <v>68067.33</v>
      </c>
      <c r="T15" s="115">
        <f t="shared" si="1"/>
        <v>0</v>
      </c>
      <c r="U15" s="115">
        <f t="shared" si="1"/>
        <v>61711.68</v>
      </c>
      <c r="V15" s="115">
        <f t="shared" si="1"/>
        <v>0</v>
      </c>
      <c r="W15" s="115">
        <f t="shared" si="1"/>
        <v>0</v>
      </c>
      <c r="X15" s="115">
        <f t="shared" si="1"/>
        <v>0</v>
      </c>
      <c r="Y15" s="115">
        <f t="shared" si="1"/>
        <v>217.78</v>
      </c>
      <c r="Z15" s="115">
        <f t="shared" si="1"/>
        <v>0</v>
      </c>
      <c r="AA15" s="128">
        <f t="shared" si="1"/>
        <v>187710.37</v>
      </c>
      <c r="AB15" s="128">
        <f t="shared" si="1"/>
        <v>0</v>
      </c>
      <c r="AC15" s="128">
        <f t="shared" si="1"/>
        <v>333233.98</v>
      </c>
      <c r="AD15" s="128">
        <f t="shared" si="1"/>
        <v>0</v>
      </c>
      <c r="AE15" s="126">
        <f t="shared" ref="AE15:AL15" si="2">AE17+AE18+AE19+AE20+AE21</f>
        <v>667959.52</v>
      </c>
      <c r="AF15" s="126">
        <f t="shared" si="2"/>
        <v>0</v>
      </c>
      <c r="AG15" s="126">
        <f t="shared" si="2"/>
        <v>94034.71</v>
      </c>
      <c r="AH15" s="126">
        <f t="shared" si="2"/>
        <v>0</v>
      </c>
      <c r="AI15" s="122">
        <f t="shared" si="2"/>
        <v>797761.55</v>
      </c>
      <c r="AJ15" s="122">
        <f t="shared" si="2"/>
        <v>0</v>
      </c>
      <c r="AK15" s="122">
        <v>0</v>
      </c>
      <c r="AL15" s="122">
        <f t="shared" si="2"/>
        <v>0</v>
      </c>
      <c r="AM15" s="126">
        <f>AM17+AM18+AM19+AM20+AM21</f>
        <v>618927.89</v>
      </c>
      <c r="AN15" s="126">
        <f>AN17+AN18+AN19+AN20+AN21</f>
        <v>0</v>
      </c>
      <c r="AO15" s="126">
        <f>AO17+AO18+AO19+AO20+AO21</f>
        <v>0</v>
      </c>
      <c r="AP15" s="126">
        <f>AP17+AP18+AP19+AP20+AP21</f>
        <v>0</v>
      </c>
      <c r="AQ15" s="134">
        <f>AM15/AI15-1</f>
        <v>-0.22416931475326185</v>
      </c>
      <c r="AR15" s="134" t="e">
        <f>AO15/AK15-1</f>
        <v>#DIV/0!</v>
      </c>
    </row>
    <row r="16" spans="1:44" x14ac:dyDescent="0.25">
      <c r="A16" s="113"/>
      <c r="B16" s="114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25"/>
      <c r="AB16" s="125"/>
      <c r="AC16" s="125"/>
      <c r="AD16" s="125"/>
      <c r="AE16" s="127"/>
      <c r="AF16" s="127"/>
      <c r="AG16" s="127"/>
      <c r="AH16" s="127"/>
      <c r="AI16" s="123"/>
      <c r="AJ16" s="123"/>
      <c r="AK16" s="123"/>
      <c r="AL16" s="123"/>
      <c r="AM16" s="127"/>
      <c r="AN16" s="127"/>
      <c r="AO16" s="127"/>
      <c r="AP16" s="127"/>
      <c r="AQ16" s="135"/>
      <c r="AR16" s="135"/>
    </row>
    <row r="17" spans="1:47" ht="45.75" customHeight="1" x14ac:dyDescent="0.25">
      <c r="A17" s="109" t="s">
        <v>11</v>
      </c>
      <c r="B17" s="110"/>
      <c r="C17" s="2"/>
      <c r="D17" s="2"/>
      <c r="E17" s="2">
        <v>35747.5</v>
      </c>
      <c r="F17" s="2"/>
      <c r="G17" s="2"/>
      <c r="H17" s="2"/>
      <c r="I17" s="2"/>
      <c r="J17" s="2"/>
      <c r="K17" s="2">
        <v>120756.41</v>
      </c>
      <c r="L17" s="2"/>
      <c r="M17" s="2">
        <v>144077.24</v>
      </c>
      <c r="N17" s="2"/>
      <c r="O17" s="2">
        <v>122267.09</v>
      </c>
      <c r="P17" s="2"/>
      <c r="Q17" s="2">
        <v>67770.240000000005</v>
      </c>
      <c r="R17" s="2"/>
      <c r="S17" s="2">
        <f>65281.19+2786.14</f>
        <v>68067.33</v>
      </c>
      <c r="T17" s="2"/>
      <c r="U17" s="2">
        <v>61711.68</v>
      </c>
      <c r="V17" s="2"/>
      <c r="W17" s="2"/>
      <c r="X17" s="2"/>
      <c r="Y17" s="2">
        <v>217.78</v>
      </c>
      <c r="Z17" s="2"/>
      <c r="AA17" s="16">
        <v>35</v>
      </c>
      <c r="AB17" s="16"/>
      <c r="AC17" s="16">
        <f>27611.35+117602.07</f>
        <v>145213.42000000001</v>
      </c>
      <c r="AD17" s="13"/>
      <c r="AE17" s="23">
        <f>56332.86+251324.18</f>
        <v>307657.03999999998</v>
      </c>
      <c r="AF17" s="13"/>
      <c r="AG17" s="23">
        <f>3600+90434.71</f>
        <v>94034.71</v>
      </c>
      <c r="AH17" s="23"/>
      <c r="AI17" s="16">
        <f>30567.15+190377.23</f>
        <v>220944.38</v>
      </c>
      <c r="AJ17" s="16"/>
      <c r="AK17" s="16"/>
      <c r="AL17" s="16"/>
      <c r="AM17" s="23">
        <f>25143.69+197968.19</f>
        <v>223111.88</v>
      </c>
      <c r="AN17" s="23"/>
      <c r="AO17" s="23"/>
      <c r="AP17" s="23"/>
      <c r="AQ17" s="17"/>
      <c r="AR17" s="17"/>
    </row>
    <row r="18" spans="1:47" ht="15.75" customHeight="1" x14ac:dyDescent="0.25">
      <c r="A18" s="109" t="s">
        <v>8</v>
      </c>
      <c r="B18" s="1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6">
        <v>172262.37</v>
      </c>
      <c r="AB18" s="16"/>
      <c r="AC18" s="16">
        <v>188020.56</v>
      </c>
      <c r="AD18" s="13"/>
      <c r="AE18" s="23">
        <v>225161</v>
      </c>
      <c r="AF18" s="13"/>
      <c r="AG18" s="13"/>
      <c r="AH18" s="13"/>
      <c r="AI18" s="16">
        <v>372715</v>
      </c>
      <c r="AJ18" s="16"/>
      <c r="AK18" s="16"/>
      <c r="AL18" s="16"/>
      <c r="AM18" s="23">
        <v>255802.92</v>
      </c>
      <c r="AN18" s="23"/>
      <c r="AO18" s="23"/>
      <c r="AP18" s="23"/>
      <c r="AQ18" s="17"/>
      <c r="AR18" s="17"/>
    </row>
    <row r="19" spans="1:47" ht="28.5" customHeight="1" x14ac:dyDescent="0.25">
      <c r="A19" s="109" t="s">
        <v>9</v>
      </c>
      <c r="B19" s="1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6"/>
      <c r="AB19" s="16"/>
      <c r="AC19" s="13"/>
      <c r="AD19" s="13"/>
      <c r="AE19" s="23"/>
      <c r="AF19" s="13"/>
      <c r="AG19" s="13"/>
      <c r="AH19" s="13"/>
      <c r="AI19" s="16"/>
      <c r="AJ19" s="16"/>
      <c r="AK19" s="16"/>
      <c r="AL19" s="16"/>
      <c r="AM19" s="23"/>
      <c r="AN19" s="23"/>
      <c r="AO19" s="23"/>
      <c r="AP19" s="23"/>
      <c r="AQ19" s="17"/>
      <c r="AR19" s="17"/>
    </row>
    <row r="20" spans="1:47" ht="18" customHeight="1" x14ac:dyDescent="0.25">
      <c r="A20" s="109" t="s">
        <v>10</v>
      </c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13990</v>
      </c>
      <c r="R20" s="2"/>
      <c r="S20" s="2"/>
      <c r="T20" s="2"/>
      <c r="U20" s="2"/>
      <c r="V20" s="2"/>
      <c r="W20" s="2"/>
      <c r="X20" s="2"/>
      <c r="Y20" s="2"/>
      <c r="Z20" s="2"/>
      <c r="AA20" s="16">
        <v>15413</v>
      </c>
      <c r="AB20" s="16"/>
      <c r="AC20" s="13"/>
      <c r="AD20" s="13"/>
      <c r="AE20" s="23">
        <v>135141.48000000001</v>
      </c>
      <c r="AF20" s="13"/>
      <c r="AG20" s="13"/>
      <c r="AH20" s="13"/>
      <c r="AI20" s="16">
        <v>204102.17</v>
      </c>
      <c r="AJ20" s="16"/>
      <c r="AK20" s="16"/>
      <c r="AL20" s="16"/>
      <c r="AM20" s="23">
        <v>140013.09</v>
      </c>
      <c r="AN20" s="23"/>
      <c r="AO20" s="23"/>
      <c r="AP20" s="23"/>
      <c r="AQ20" s="17"/>
      <c r="AR20" s="17"/>
    </row>
    <row r="21" spans="1:47" ht="18.75" customHeight="1" x14ac:dyDescent="0.25">
      <c r="A21" s="109" t="s">
        <v>16</v>
      </c>
      <c r="B21" s="1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6"/>
      <c r="AB21" s="16"/>
      <c r="AC21" s="13"/>
      <c r="AD21" s="13"/>
      <c r="AE21" s="13"/>
      <c r="AF21" s="13"/>
      <c r="AG21" s="13"/>
      <c r="AH21" s="13"/>
      <c r="AI21" s="16"/>
      <c r="AJ21" s="16"/>
      <c r="AK21" s="16"/>
      <c r="AL21" s="16"/>
      <c r="AM21" s="13"/>
      <c r="AN21" s="13"/>
      <c r="AO21" s="13"/>
      <c r="AP21" s="13"/>
      <c r="AQ21" s="31"/>
      <c r="AR21" s="31"/>
    </row>
    <row r="22" spans="1:47" x14ac:dyDescent="0.25">
      <c r="A22" s="111" t="s">
        <v>2</v>
      </c>
      <c r="B22" s="112"/>
      <c r="C22" s="115">
        <v>54846675.530000001</v>
      </c>
      <c r="D22" s="115">
        <v>48940486.590000004</v>
      </c>
      <c r="E22" s="115">
        <f>SUM(E24:E28)</f>
        <v>64656891.350000001</v>
      </c>
      <c r="F22" s="115">
        <f>SUM(F24:F28)</f>
        <v>51440732.669999994</v>
      </c>
      <c r="G22" s="115">
        <f t="shared" ref="G22:AD22" si="3">SUM(G24:G28)</f>
        <v>69207433.140000001</v>
      </c>
      <c r="H22" s="115">
        <f t="shared" si="3"/>
        <v>50454846.649999999</v>
      </c>
      <c r="I22" s="115">
        <f t="shared" si="3"/>
        <v>70742852.230000004</v>
      </c>
      <c r="J22" s="115">
        <f t="shared" si="3"/>
        <v>55024116.890000001</v>
      </c>
      <c r="K22" s="115">
        <f t="shared" si="3"/>
        <v>70605066.099999994</v>
      </c>
      <c r="L22" s="115">
        <f t="shared" si="3"/>
        <v>57943952.730000004</v>
      </c>
      <c r="M22" s="115">
        <f t="shared" si="3"/>
        <v>73371785.549999997</v>
      </c>
      <c r="N22" s="115">
        <f t="shared" si="3"/>
        <v>57519633.82</v>
      </c>
      <c r="O22" s="115">
        <f t="shared" si="3"/>
        <v>69857012.25</v>
      </c>
      <c r="P22" s="115">
        <f t="shared" si="3"/>
        <v>65548817.789999999</v>
      </c>
      <c r="Q22" s="115">
        <f t="shared" si="3"/>
        <v>71509757.569999993</v>
      </c>
      <c r="R22" s="115">
        <f t="shared" si="3"/>
        <v>57862859.439999998</v>
      </c>
      <c r="S22" s="115">
        <f t="shared" si="3"/>
        <v>71486946.959999993</v>
      </c>
      <c r="T22" s="115">
        <f t="shared" si="3"/>
        <v>57789918.439999998</v>
      </c>
      <c r="U22" s="115">
        <f t="shared" si="3"/>
        <v>70592079.479999989</v>
      </c>
      <c r="V22" s="115">
        <f t="shared" si="3"/>
        <v>61579945.239999995</v>
      </c>
      <c r="W22" s="115">
        <f t="shared" si="3"/>
        <v>66866461.460000001</v>
      </c>
      <c r="X22" s="115">
        <f t="shared" si="3"/>
        <v>57735277.960000001</v>
      </c>
      <c r="Y22" s="115">
        <f t="shared" si="3"/>
        <v>103038065.23999999</v>
      </c>
      <c r="Z22" s="115">
        <f t="shared" si="3"/>
        <v>90836160.789999992</v>
      </c>
      <c r="AA22" s="128">
        <f t="shared" si="3"/>
        <v>56387437.119999997</v>
      </c>
      <c r="AB22" s="128">
        <f t="shared" si="3"/>
        <v>15533763.189999999</v>
      </c>
      <c r="AC22" s="128">
        <f t="shared" si="3"/>
        <v>119943838.53</v>
      </c>
      <c r="AD22" s="128">
        <f t="shared" si="3"/>
        <v>72448338.349999994</v>
      </c>
      <c r="AE22" s="126">
        <f t="shared" ref="AE22:AL22" si="4">AE24+AE25+AE26+AE27+AE28</f>
        <v>98597337.969999999</v>
      </c>
      <c r="AF22" s="126">
        <f t="shared" si="4"/>
        <v>28249113.57</v>
      </c>
      <c r="AG22" s="126">
        <f t="shared" si="4"/>
        <v>52538002.529999994</v>
      </c>
      <c r="AH22" s="126">
        <f t="shared" si="4"/>
        <v>0</v>
      </c>
      <c r="AI22" s="122">
        <f t="shared" si="4"/>
        <v>63217359.389999993</v>
      </c>
      <c r="AJ22" s="122">
        <f t="shared" si="4"/>
        <v>27862807.449999999</v>
      </c>
      <c r="AK22" s="122">
        <f t="shared" si="4"/>
        <v>9411597.2899999991</v>
      </c>
      <c r="AL22" s="122">
        <f t="shared" si="4"/>
        <v>0</v>
      </c>
      <c r="AM22" s="122">
        <f>AM24+AM25+AM26+AM27+AM28</f>
        <v>47705292.770000003</v>
      </c>
      <c r="AN22" s="122">
        <f>AN24+AN25+AN26+AN27+AN28</f>
        <v>17688223.09</v>
      </c>
      <c r="AO22" s="122">
        <f>AO24+AO25+AO26+AO27+AO28</f>
        <v>6270340.0099999998</v>
      </c>
      <c r="AP22" s="122">
        <f>AP24+AP25+AP26+AP27+AP28</f>
        <v>0</v>
      </c>
      <c r="AQ22" s="116">
        <f>AM22/AI22-1</f>
        <v>-0.24537669351709368</v>
      </c>
      <c r="AR22" s="116">
        <f>AO22/AK22-1</f>
        <v>-0.3337645229824745</v>
      </c>
    </row>
    <row r="23" spans="1:47" ht="12" customHeight="1" x14ac:dyDescent="0.25">
      <c r="A23" s="113"/>
      <c r="B23" s="11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25"/>
      <c r="AB23" s="125"/>
      <c r="AC23" s="125"/>
      <c r="AD23" s="125"/>
      <c r="AE23" s="127"/>
      <c r="AF23" s="127"/>
      <c r="AG23" s="127"/>
      <c r="AH23" s="127"/>
      <c r="AI23" s="123"/>
      <c r="AJ23" s="123"/>
      <c r="AK23" s="123"/>
      <c r="AL23" s="123"/>
      <c r="AM23" s="123"/>
      <c r="AN23" s="123"/>
      <c r="AO23" s="123"/>
      <c r="AP23" s="123"/>
      <c r="AQ23" s="117"/>
      <c r="AR23" s="117"/>
    </row>
    <row r="24" spans="1:47" ht="43.5" customHeight="1" x14ac:dyDescent="0.25">
      <c r="A24" s="109" t="s">
        <v>11</v>
      </c>
      <c r="B24" s="110"/>
      <c r="C24" s="2"/>
      <c r="D24" s="2"/>
      <c r="E24" s="2">
        <v>10110055.9</v>
      </c>
      <c r="F24" s="2">
        <f>51442088.62-49312861.59</f>
        <v>2129227.0299999937</v>
      </c>
      <c r="G24" s="2">
        <v>10146692.35</v>
      </c>
      <c r="H24" s="2">
        <v>2129227.0299999998</v>
      </c>
      <c r="I24" s="2">
        <v>14616479.76</v>
      </c>
      <c r="J24" s="2">
        <v>2129227.0299999998</v>
      </c>
      <c r="K24" s="2">
        <v>7843217.96</v>
      </c>
      <c r="L24" s="2">
        <v>2129227.0299999998</v>
      </c>
      <c r="M24" s="2">
        <v>7533070</v>
      </c>
      <c r="N24" s="2">
        <v>2129227.0299999998</v>
      </c>
      <c r="O24" s="2">
        <v>6652443.1100000003</v>
      </c>
      <c r="P24" s="2">
        <v>2344248.65</v>
      </c>
      <c r="Q24" s="2">
        <f>8677372.77+42645.25</f>
        <v>8720018.0199999996</v>
      </c>
      <c r="R24" s="2">
        <f>2344248.65</f>
        <v>2344248.65</v>
      </c>
      <c r="S24" s="2">
        <f>69747.65+9218096.72</f>
        <v>9287844.370000001</v>
      </c>
      <c r="T24" s="2">
        <v>2271307.65</v>
      </c>
      <c r="U24" s="2">
        <f>94170.06+10964271.83</f>
        <v>11058441.890000001</v>
      </c>
      <c r="V24" s="2">
        <f>2046307.65</f>
        <v>2046307.65</v>
      </c>
      <c r="W24" s="2">
        <f>11194823.81+98358.34</f>
        <v>11293182.15</v>
      </c>
      <c r="X24" s="2">
        <f>2161998.65</f>
        <v>2161998.65</v>
      </c>
      <c r="Y24" s="2">
        <v>13594212.15</v>
      </c>
      <c r="Z24" s="2">
        <v>4751435.4800000004</v>
      </c>
      <c r="AA24" s="16">
        <f>77325.12+12375433.35</f>
        <v>12452758.469999999</v>
      </c>
      <c r="AB24" s="16">
        <v>1634678.03</v>
      </c>
      <c r="AC24" s="16">
        <f>263374.33+25371454.14</f>
        <v>25634828.469999999</v>
      </c>
      <c r="AD24" s="16">
        <v>7111498.0199999996</v>
      </c>
      <c r="AE24" s="23">
        <f>361338.29+22200823.79</f>
        <v>22562162.079999998</v>
      </c>
      <c r="AF24" s="23">
        <v>1203080.3799999999</v>
      </c>
      <c r="AG24" s="23">
        <f>223320.42+7979287.52</f>
        <v>8202607.9399999995</v>
      </c>
      <c r="AH24" s="13"/>
      <c r="AI24" s="16">
        <f>58898.5+5757823.28+84105.04+8232493.31</f>
        <v>14133320.129999999</v>
      </c>
      <c r="AJ24" s="16">
        <f>58898.5+84105.04</f>
        <v>143003.53999999998</v>
      </c>
      <c r="AK24" s="16">
        <v>1077110.1399999999</v>
      </c>
      <c r="AL24" s="16"/>
      <c r="AM24" s="16">
        <f>6630293.37+6453250.19</f>
        <v>13083543.560000001</v>
      </c>
      <c r="AN24" s="16">
        <f>53872.01+59916.05</f>
        <v>113788.06</v>
      </c>
      <c r="AO24" s="16">
        <v>1251980.27</v>
      </c>
      <c r="AP24" s="16"/>
      <c r="AQ24" s="24"/>
      <c r="AR24" s="24"/>
      <c r="AU24" s="30"/>
    </row>
    <row r="25" spans="1:47" ht="18" customHeight="1" x14ac:dyDescent="0.25">
      <c r="A25" s="109" t="s">
        <v>8</v>
      </c>
      <c r="B25" s="1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>
        <f>774524.11+20097533.72</f>
        <v>20872057.829999998</v>
      </c>
      <c r="AB25" s="16"/>
      <c r="AC25" s="16">
        <f>815882.11+24539657.77</f>
        <v>25355539.879999999</v>
      </c>
      <c r="AD25" s="16"/>
      <c r="AE25" s="23">
        <f>826423.25+23317982.32</f>
        <v>24144405.57</v>
      </c>
      <c r="AF25" s="23">
        <v>16922780.550000001</v>
      </c>
      <c r="AG25" s="23"/>
      <c r="AH25" s="13"/>
      <c r="AI25" s="16">
        <f>6636427.13+2761581.99+10175763.76+5190667.21</f>
        <v>24764440.090000004</v>
      </c>
      <c r="AJ25" s="16">
        <f>6636427.13+10175763.76</f>
        <v>16812190.890000001</v>
      </c>
      <c r="AK25" s="16"/>
      <c r="AL25" s="16"/>
      <c r="AM25" s="16">
        <f>6752944.9+8987901.63</f>
        <v>15740846.530000001</v>
      </c>
      <c r="AN25" s="16">
        <f>4519600.14+6148904.94</f>
        <v>10668505.08</v>
      </c>
      <c r="AO25" s="16"/>
      <c r="AP25" s="16"/>
      <c r="AQ25" s="24"/>
      <c r="AR25" s="24"/>
    </row>
    <row r="26" spans="1:47" ht="44.25" customHeight="1" x14ac:dyDescent="0.25">
      <c r="A26" s="109" t="s">
        <v>9</v>
      </c>
      <c r="B26" s="110"/>
      <c r="C26" s="2"/>
      <c r="D26" s="2"/>
      <c r="E26" s="2">
        <v>4317281.3899999997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3356790.95</v>
      </c>
      <c r="Z26" s="2"/>
      <c r="AA26" s="16">
        <f>511757.59+6814505.62</f>
        <v>7326263.21</v>
      </c>
      <c r="AB26" s="16"/>
      <c r="AC26" s="16">
        <f>484038.54+11956133.92</f>
        <v>12440172.459999999</v>
      </c>
      <c r="AD26" s="16">
        <v>10626588</v>
      </c>
      <c r="AE26" s="23">
        <f>871920.5+16450579.56</f>
        <v>17322500.060000002</v>
      </c>
      <c r="AF26" s="23">
        <v>10123252.640000001</v>
      </c>
      <c r="AG26" s="23">
        <f>353493.68+11501508.54</f>
        <v>11855002.219999999</v>
      </c>
      <c r="AH26" s="13"/>
      <c r="AI26" s="16">
        <f>4846101.83+2549979.72+3834472.6+2522828.53</f>
        <v>13753382.68</v>
      </c>
      <c r="AJ26" s="16">
        <f>4846101.83+3834472.6</f>
        <v>8680574.4299999997</v>
      </c>
      <c r="AK26" s="16"/>
      <c r="AL26" s="16"/>
      <c r="AM26" s="16">
        <f>3432437.37+8154901.57</f>
        <v>11587338.940000001</v>
      </c>
      <c r="AN26" s="16">
        <f>760245.36+4101941.62</f>
        <v>4862186.9800000004</v>
      </c>
      <c r="AO26" s="16"/>
      <c r="AP26" s="16"/>
      <c r="AQ26" s="24"/>
      <c r="AR26" s="24"/>
    </row>
    <row r="27" spans="1:47" ht="16.899999999999999" customHeight="1" x14ac:dyDescent="0.25">
      <c r="A27" s="109" t="s">
        <v>10</v>
      </c>
      <c r="B27" s="110"/>
      <c r="C27" s="2"/>
      <c r="D27" s="2"/>
      <c r="E27" s="2">
        <v>50229554.060000002</v>
      </c>
      <c r="F27" s="2">
        <v>49311505.640000001</v>
      </c>
      <c r="G27" s="2">
        <f>54914409.14+4146331.65</f>
        <v>59060740.789999999</v>
      </c>
      <c r="H27" s="2">
        <f>4092516+44233103.62</f>
        <v>48325619.619999997</v>
      </c>
      <c r="I27" s="2">
        <f>4125519+52000853.47</f>
        <v>56126372.469999999</v>
      </c>
      <c r="J27" s="2">
        <f>4092516+48802373.86</f>
        <v>52894889.859999999</v>
      </c>
      <c r="K27" s="2">
        <f>4106722+58655126.14</f>
        <v>62761848.140000001</v>
      </c>
      <c r="L27" s="2">
        <f>4092516+51722209.7</f>
        <v>55814725.700000003</v>
      </c>
      <c r="M27" s="2">
        <f>3726327.65+62112387.9</f>
        <v>65838715.549999997</v>
      </c>
      <c r="N27" s="2">
        <f>51679075.14+3711331.65</f>
        <v>55390406.789999999</v>
      </c>
      <c r="O27" s="2">
        <f>3292052+59912517.14</f>
        <v>63204569.140000001</v>
      </c>
      <c r="P27" s="2">
        <f>3292052+59912517.14</f>
        <v>63204569.140000001</v>
      </c>
      <c r="Q27" s="2">
        <f>59493077.9+3296661.65</f>
        <v>62789739.549999997</v>
      </c>
      <c r="R27" s="2">
        <f>3296661.65+52221949.14</f>
        <v>55518610.789999999</v>
      </c>
      <c r="S27" s="2">
        <f>58887656.94+3311445.65</f>
        <v>62199102.589999996</v>
      </c>
      <c r="T27" s="2">
        <f>3296661.65+52221949.14</f>
        <v>55518610.789999999</v>
      </c>
      <c r="U27" s="2">
        <f>56222191.94+3311445.65</f>
        <v>59533637.589999996</v>
      </c>
      <c r="V27" s="2">
        <f>3311445.65+56222191.94</f>
        <v>59533637.589999996</v>
      </c>
      <c r="W27" s="2">
        <f>1281078.35+54292200.96</f>
        <v>55573279.310000002</v>
      </c>
      <c r="X27" s="2">
        <f>54292200.96+1281078.35</f>
        <v>55573279.310000002</v>
      </c>
      <c r="Y27" s="2">
        <v>55305512.479999997</v>
      </c>
      <c r="Z27" s="2">
        <v>55305512.479999997</v>
      </c>
      <c r="AA27" s="16">
        <v>12430432.640000001</v>
      </c>
      <c r="AB27" s="16">
        <v>12430432.640000001</v>
      </c>
      <c r="AC27" s="16">
        <v>19001954.52</v>
      </c>
      <c r="AD27" s="16">
        <v>19001954.52</v>
      </c>
      <c r="AE27" s="23">
        <f>8958+7347927.08</f>
        <v>7356885.0800000001</v>
      </c>
      <c r="AF27" s="13"/>
      <c r="AG27" s="23">
        <f>8958+6907494.08</f>
        <v>6916452.0800000001</v>
      </c>
      <c r="AH27" s="13"/>
      <c r="AI27" s="16">
        <f>2101880.84+3050643.64</f>
        <v>5152524.4800000004</v>
      </c>
      <c r="AJ27" s="16"/>
      <c r="AK27" s="16">
        <f>2101856.09+3050642.64</f>
        <v>5152498.7300000004</v>
      </c>
      <c r="AL27" s="16"/>
      <c r="AM27" s="16">
        <f>2679570.74+2339257.58</f>
        <v>5018828.32</v>
      </c>
      <c r="AN27" s="16"/>
      <c r="AO27" s="16">
        <f>2679570.74+2338789</f>
        <v>5018359.74</v>
      </c>
      <c r="AP27" s="16"/>
      <c r="AQ27" s="24" t="s">
        <v>42</v>
      </c>
      <c r="AR27" s="24"/>
    </row>
    <row r="28" spans="1:47" ht="31.5" customHeight="1" x14ac:dyDescent="0.25">
      <c r="A28" s="109" t="s">
        <v>16</v>
      </c>
      <c r="B28" s="1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30781549.66</v>
      </c>
      <c r="Z28" s="2">
        <v>30779212.829999998</v>
      </c>
      <c r="AA28" s="16">
        <f>3305399.51+525.46</f>
        <v>3305924.9699999997</v>
      </c>
      <c r="AB28" s="16">
        <v>1468652.52</v>
      </c>
      <c r="AC28" s="16">
        <f>37418429.35+92913.85</f>
        <v>37511343.200000003</v>
      </c>
      <c r="AD28" s="16">
        <v>35708297.810000002</v>
      </c>
      <c r="AE28" s="23">
        <f>27144292.69+67092.49</f>
        <v>27211385.18</v>
      </c>
      <c r="AF28" s="13"/>
      <c r="AG28" s="23">
        <v>25563940.289999999</v>
      </c>
      <c r="AH28" s="13"/>
      <c r="AI28" s="16">
        <f>5363159.41+45867.6+4665</f>
        <v>5413692.0099999998</v>
      </c>
      <c r="AJ28" s="16">
        <f>45867.6+2181170.99</f>
        <v>2227038.5900000003</v>
      </c>
      <c r="AK28" s="16">
        <v>3181988.42</v>
      </c>
      <c r="AL28" s="16"/>
      <c r="AM28" s="16">
        <f>2120015.52+154719.9</f>
        <v>2274735.42</v>
      </c>
      <c r="AN28" s="16">
        <f>1980698.31+63044.66</f>
        <v>2043742.97</v>
      </c>
      <c r="AO28" s="16"/>
      <c r="AP28" s="16"/>
      <c r="AQ28" s="24"/>
      <c r="AR28" s="24"/>
    </row>
    <row r="29" spans="1:47" x14ac:dyDescent="0.25">
      <c r="A29" s="111" t="s">
        <v>3</v>
      </c>
      <c r="B29" s="112"/>
      <c r="C29" s="115">
        <v>-7680.14</v>
      </c>
      <c r="D29" s="115">
        <f>SUM(D31:D35)</f>
        <v>0</v>
      </c>
      <c r="E29" s="115">
        <f t="shared" ref="E29:AD29" si="5">SUM(E31:E35)</f>
        <v>0</v>
      </c>
      <c r="F29" s="115">
        <f t="shared" si="5"/>
        <v>0</v>
      </c>
      <c r="G29" s="115">
        <f t="shared" si="5"/>
        <v>114426.95</v>
      </c>
      <c r="H29" s="115">
        <f t="shared" si="5"/>
        <v>0</v>
      </c>
      <c r="I29" s="115">
        <f t="shared" si="5"/>
        <v>88290.77</v>
      </c>
      <c r="J29" s="115">
        <f t="shared" si="5"/>
        <v>0</v>
      </c>
      <c r="K29" s="115">
        <f t="shared" si="5"/>
        <v>51440.42</v>
      </c>
      <c r="L29" s="115">
        <f t="shared" si="5"/>
        <v>0</v>
      </c>
      <c r="M29" s="115">
        <f t="shared" si="5"/>
        <v>169857.58</v>
      </c>
      <c r="N29" s="115">
        <f t="shared" si="5"/>
        <v>0</v>
      </c>
      <c r="O29" s="115">
        <f t="shared" si="5"/>
        <v>77731.77</v>
      </c>
      <c r="P29" s="115">
        <f t="shared" si="5"/>
        <v>0</v>
      </c>
      <c r="Q29" s="115">
        <f t="shared" si="5"/>
        <v>55035.07</v>
      </c>
      <c r="R29" s="115">
        <f t="shared" si="5"/>
        <v>0</v>
      </c>
      <c r="S29" s="115">
        <f t="shared" si="5"/>
        <v>80513.679999999993</v>
      </c>
      <c r="T29" s="115">
        <f t="shared" si="5"/>
        <v>0</v>
      </c>
      <c r="U29" s="115">
        <f t="shared" si="5"/>
        <v>77945.259999999995</v>
      </c>
      <c r="V29" s="115">
        <f t="shared" si="5"/>
        <v>0</v>
      </c>
      <c r="W29" s="115">
        <f t="shared" si="5"/>
        <v>84064.9</v>
      </c>
      <c r="X29" s="115">
        <f t="shared" si="5"/>
        <v>0</v>
      </c>
      <c r="Y29" s="115">
        <f t="shared" si="5"/>
        <v>0</v>
      </c>
      <c r="Z29" s="115">
        <f t="shared" si="5"/>
        <v>0</v>
      </c>
      <c r="AA29" s="128">
        <f t="shared" si="5"/>
        <v>663721.94999999995</v>
      </c>
      <c r="AB29" s="128">
        <f t="shared" si="5"/>
        <v>0</v>
      </c>
      <c r="AC29" s="128">
        <f t="shared" si="5"/>
        <v>856387.40999999992</v>
      </c>
      <c r="AD29" s="128">
        <f t="shared" si="5"/>
        <v>0</v>
      </c>
      <c r="AE29" s="126">
        <f t="shared" ref="AE29:AL29" si="6">AE31+AE32+AE33+AE34+AE35</f>
        <v>807619</v>
      </c>
      <c r="AF29" s="126">
        <f t="shared" si="6"/>
        <v>0</v>
      </c>
      <c r="AG29" s="126">
        <f t="shared" si="6"/>
        <v>0</v>
      </c>
      <c r="AH29" s="126">
        <f t="shared" si="6"/>
        <v>0</v>
      </c>
      <c r="AI29" s="122">
        <f t="shared" si="6"/>
        <v>1745805.9500000002</v>
      </c>
      <c r="AJ29" s="122">
        <f t="shared" si="6"/>
        <v>0</v>
      </c>
      <c r="AK29" s="122">
        <v>0</v>
      </c>
      <c r="AL29" s="122">
        <f t="shared" si="6"/>
        <v>0</v>
      </c>
      <c r="AM29" s="126">
        <f>AM31+AM32+AM33+AM34+AM35</f>
        <v>1308652.03</v>
      </c>
      <c r="AN29" s="126">
        <f>AN31+AN32+AN33+AN34+AN35</f>
        <v>0</v>
      </c>
      <c r="AO29" s="126">
        <f>AO31+AO32+AO33+AO34+AO35</f>
        <v>0</v>
      </c>
      <c r="AP29" s="126">
        <f>AP31+AP32+AP33+AP34+AP35</f>
        <v>0</v>
      </c>
      <c r="AQ29" s="134">
        <f>AM29/AI29-1</f>
        <v>-0.25040235428227298</v>
      </c>
      <c r="AR29" s="134" t="e">
        <f>AO29/AK29-1</f>
        <v>#DIV/0!</v>
      </c>
    </row>
    <row r="30" spans="1:47" x14ac:dyDescent="0.25">
      <c r="A30" s="113"/>
      <c r="B30" s="11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5"/>
      <c r="AB30" s="125"/>
      <c r="AC30" s="125"/>
      <c r="AD30" s="125"/>
      <c r="AE30" s="127"/>
      <c r="AF30" s="127"/>
      <c r="AG30" s="127"/>
      <c r="AH30" s="127"/>
      <c r="AI30" s="123"/>
      <c r="AJ30" s="123"/>
      <c r="AK30" s="123"/>
      <c r="AL30" s="123"/>
      <c r="AM30" s="127"/>
      <c r="AN30" s="127"/>
      <c r="AO30" s="127"/>
      <c r="AP30" s="127"/>
      <c r="AQ30" s="135"/>
      <c r="AR30" s="135"/>
    </row>
    <row r="31" spans="1:47" ht="43.5" customHeight="1" x14ac:dyDescent="0.25">
      <c r="A31" s="109" t="s">
        <v>11</v>
      </c>
      <c r="B31" s="110"/>
      <c r="C31" s="2">
        <v>0</v>
      </c>
      <c r="D31" s="2"/>
      <c r="E31" s="2">
        <v>0</v>
      </c>
      <c r="F31" s="2"/>
      <c r="G31" s="2">
        <v>114426.95</v>
      </c>
      <c r="H31" s="2"/>
      <c r="I31" s="2">
        <v>88290.77</v>
      </c>
      <c r="J31" s="2"/>
      <c r="K31" s="2">
        <v>51440.42</v>
      </c>
      <c r="L31" s="2"/>
      <c r="M31" s="2">
        <v>169857.58</v>
      </c>
      <c r="N31" s="2"/>
      <c r="O31" s="2">
        <v>77731.77</v>
      </c>
      <c r="P31" s="2"/>
      <c r="Q31" s="2">
        <v>55035.07</v>
      </c>
      <c r="R31" s="2"/>
      <c r="S31" s="2">
        <v>80513.679999999993</v>
      </c>
      <c r="T31" s="2"/>
      <c r="U31" s="2">
        <v>77945.259999999995</v>
      </c>
      <c r="V31" s="2"/>
      <c r="W31" s="2">
        <v>84064.9</v>
      </c>
      <c r="X31" s="2"/>
      <c r="Y31" s="2"/>
      <c r="Z31" s="2"/>
      <c r="AA31" s="16">
        <v>4839.6099999999997</v>
      </c>
      <c r="AB31" s="16"/>
      <c r="AC31" s="16">
        <v>85242.16</v>
      </c>
      <c r="AD31" s="13"/>
      <c r="AE31" s="23">
        <v>172973.85</v>
      </c>
      <c r="AF31" s="23"/>
      <c r="AG31" s="23"/>
      <c r="AH31" s="23"/>
      <c r="AI31" s="16">
        <f>72200.43+5275.44</f>
        <v>77475.87</v>
      </c>
      <c r="AJ31" s="16"/>
      <c r="AK31" s="16"/>
      <c r="AL31" s="16"/>
      <c r="AM31" s="23">
        <f>243138.84+9886.36</f>
        <v>253025.2</v>
      </c>
      <c r="AN31" s="23"/>
      <c r="AO31" s="23"/>
      <c r="AP31" s="23"/>
      <c r="AQ31" s="17"/>
      <c r="AR31" s="17"/>
    </row>
    <row r="32" spans="1:47" ht="18.600000000000001" customHeight="1" x14ac:dyDescent="0.25">
      <c r="A32" s="109" t="s">
        <v>8</v>
      </c>
      <c r="B32" s="1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>
        <v>446550.73</v>
      </c>
      <c r="AB32" s="16"/>
      <c r="AC32" s="16">
        <v>451706.16</v>
      </c>
      <c r="AD32" s="13"/>
      <c r="AE32" s="23">
        <v>291019.77</v>
      </c>
      <c r="AF32" s="23"/>
      <c r="AG32" s="23"/>
      <c r="AH32" s="23"/>
      <c r="AI32" s="16">
        <f>696234.36+399212.22</f>
        <v>1095446.58</v>
      </c>
      <c r="AJ32" s="16"/>
      <c r="AK32" s="16"/>
      <c r="AL32" s="16"/>
      <c r="AM32" s="23">
        <f>329334.24+242205.67</f>
        <v>571539.91</v>
      </c>
      <c r="AN32" s="23"/>
      <c r="AO32" s="23"/>
      <c r="AP32" s="23"/>
      <c r="AQ32" s="17"/>
      <c r="AR32" s="17"/>
    </row>
    <row r="33" spans="1:44" ht="31.5" customHeight="1" x14ac:dyDescent="0.25">
      <c r="A33" s="109" t="s">
        <v>9</v>
      </c>
      <c r="B33" s="110"/>
      <c r="C33" s="2">
        <v>0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23"/>
      <c r="AC33" s="16"/>
      <c r="AD33" s="13"/>
      <c r="AE33" s="23"/>
      <c r="AF33" s="23"/>
      <c r="AG33" s="23"/>
      <c r="AH33" s="23"/>
      <c r="AI33" s="16"/>
      <c r="AJ33" s="16"/>
      <c r="AK33" s="16"/>
      <c r="AL33" s="16"/>
      <c r="AM33" s="23"/>
      <c r="AN33" s="23"/>
      <c r="AO33" s="23"/>
      <c r="AP33" s="23"/>
      <c r="AQ33" s="17"/>
      <c r="AR33" s="17"/>
    </row>
    <row r="34" spans="1:44" x14ac:dyDescent="0.25">
      <c r="A34" s="109" t="s">
        <v>10</v>
      </c>
      <c r="B34" s="1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>
        <v>212331.61</v>
      </c>
      <c r="AB34" s="16"/>
      <c r="AC34" s="16">
        <v>319439.09000000003</v>
      </c>
      <c r="AD34" s="13"/>
      <c r="AE34" s="23">
        <v>343625.38</v>
      </c>
      <c r="AF34" s="23"/>
      <c r="AG34" s="23"/>
      <c r="AH34" s="23"/>
      <c r="AI34" s="16">
        <f>340695.57+232187.93</f>
        <v>572883.5</v>
      </c>
      <c r="AJ34" s="16"/>
      <c r="AK34" s="16"/>
      <c r="AL34" s="16"/>
      <c r="AM34" s="23">
        <f>188697.37+126889.55</f>
        <v>315586.92</v>
      </c>
      <c r="AN34" s="23"/>
      <c r="AO34" s="23"/>
      <c r="AP34" s="23"/>
      <c r="AQ34" s="17"/>
      <c r="AR34" s="17"/>
    </row>
    <row r="35" spans="1:44" x14ac:dyDescent="0.25">
      <c r="A35" s="109" t="s">
        <v>16</v>
      </c>
      <c r="B35" s="1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/>
      <c r="AB35" s="13"/>
      <c r="AC35" s="13"/>
      <c r="AD35" s="13"/>
      <c r="AE35" s="13"/>
      <c r="AF35" s="13"/>
      <c r="AG35" s="13"/>
      <c r="AH35" s="13"/>
      <c r="AI35" s="16"/>
      <c r="AJ35" s="16"/>
      <c r="AK35" s="16"/>
      <c r="AL35" s="16"/>
      <c r="AM35" s="23">
        <v>168500</v>
      </c>
      <c r="AN35" s="23"/>
      <c r="AO35" s="23"/>
      <c r="AP35" s="23"/>
      <c r="AQ35" s="17"/>
      <c r="AR35" s="17"/>
    </row>
    <row r="36" spans="1:44" x14ac:dyDescent="0.25">
      <c r="A36" s="111" t="s">
        <v>19</v>
      </c>
      <c r="B36" s="112"/>
      <c r="C36" s="115">
        <v>24738.76</v>
      </c>
      <c r="D36" s="115">
        <f t="shared" ref="D36:Z36" si="7">SUM(D38:D42)</f>
        <v>0</v>
      </c>
      <c r="E36" s="115">
        <f t="shared" si="7"/>
        <v>162585.41</v>
      </c>
      <c r="F36" s="115">
        <f t="shared" si="7"/>
        <v>0</v>
      </c>
      <c r="G36" s="115">
        <f t="shared" si="7"/>
        <v>2836261.8599999994</v>
      </c>
      <c r="H36" s="115">
        <f t="shared" si="7"/>
        <v>179639.45</v>
      </c>
      <c r="I36" s="115">
        <f t="shared" si="7"/>
        <v>2968161.5</v>
      </c>
      <c r="J36" s="115">
        <f t="shared" si="7"/>
        <v>179639.45</v>
      </c>
      <c r="K36" s="115">
        <f t="shared" si="7"/>
        <v>3579888.6599999997</v>
      </c>
      <c r="L36" s="115">
        <f t="shared" si="7"/>
        <v>179639.45</v>
      </c>
      <c r="M36" s="115">
        <f t="shared" si="7"/>
        <v>2288254.44</v>
      </c>
      <c r="N36" s="115">
        <f t="shared" si="7"/>
        <v>179639.45</v>
      </c>
      <c r="O36" s="115">
        <f t="shared" si="7"/>
        <v>2699902.61</v>
      </c>
      <c r="P36" s="115">
        <f t="shared" si="7"/>
        <v>179639.45</v>
      </c>
      <c r="Q36" s="115">
        <f t="shared" si="7"/>
        <v>2782603.59</v>
      </c>
      <c r="R36" s="115">
        <f t="shared" si="7"/>
        <v>179639.45</v>
      </c>
      <c r="S36" s="115">
        <f t="shared" si="7"/>
        <v>2615855.7999999998</v>
      </c>
      <c r="T36" s="115">
        <f t="shared" si="7"/>
        <v>179639.45</v>
      </c>
      <c r="U36" s="115">
        <f t="shared" si="7"/>
        <v>2483055.5499999998</v>
      </c>
      <c r="V36" s="115">
        <f t="shared" si="7"/>
        <v>142806.04</v>
      </c>
      <c r="W36" s="115">
        <f t="shared" si="7"/>
        <v>2680559.16</v>
      </c>
      <c r="X36" s="115">
        <f t="shared" si="7"/>
        <v>142806.04</v>
      </c>
      <c r="Y36" s="115">
        <f t="shared" si="7"/>
        <v>79878.12999999999</v>
      </c>
      <c r="Z36" s="115">
        <f t="shared" si="7"/>
        <v>0</v>
      </c>
      <c r="AA36" s="128">
        <f>SUM(AA38:AA42)</f>
        <v>2592606.9299999997</v>
      </c>
      <c r="AB36" s="128">
        <f>SUM(AB38:AB42)</f>
        <v>0</v>
      </c>
      <c r="AC36" s="128">
        <f>SUM(AC38:AC42)</f>
        <v>4410926.9800000004</v>
      </c>
      <c r="AD36" s="128">
        <f>SUM(AD38:AD42)</f>
        <v>1508980.59</v>
      </c>
      <c r="AE36" s="126">
        <f t="shared" ref="AE36:AJ36" si="8">AE38+AE39+AE40+AE41+AE42</f>
        <v>6043790.8399999999</v>
      </c>
      <c r="AF36" s="126">
        <f t="shared" si="8"/>
        <v>5996669.2400000002</v>
      </c>
      <c r="AG36" s="126">
        <f t="shared" si="8"/>
        <v>1880593.8800000001</v>
      </c>
      <c r="AH36" s="126">
        <f t="shared" si="8"/>
        <v>1880593.88</v>
      </c>
      <c r="AI36" s="122">
        <f t="shared" si="8"/>
        <v>4401686.4800000004</v>
      </c>
      <c r="AJ36" s="122">
        <f t="shared" si="8"/>
        <v>4300435.1999999993</v>
      </c>
      <c r="AK36" s="122">
        <v>0</v>
      </c>
      <c r="AL36" s="122">
        <v>0</v>
      </c>
      <c r="AM36" s="126">
        <f>AM38+AM39+AM40+AM41+AM42</f>
        <v>5186549.5100000007</v>
      </c>
      <c r="AN36" s="126">
        <f>AN38+AN39+AN40+AN41+AN42</f>
        <v>5112597.0900000008</v>
      </c>
      <c r="AO36" s="126">
        <f>AO38+AO39+AO40+AO41+AO42</f>
        <v>0</v>
      </c>
      <c r="AP36" s="126">
        <f>AP38+AP39+AP40+AP41+AP42</f>
        <v>0</v>
      </c>
      <c r="AQ36" s="134">
        <f>AM36/AI36-1</f>
        <v>0.17830961690847191</v>
      </c>
      <c r="AR36" s="134" t="e">
        <f>AO36/AK36-1</f>
        <v>#DIV/0!</v>
      </c>
    </row>
    <row r="37" spans="1:44" x14ac:dyDescent="0.25">
      <c r="A37" s="113"/>
      <c r="B37" s="11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5"/>
      <c r="AB37" s="125"/>
      <c r="AC37" s="125"/>
      <c r="AD37" s="125"/>
      <c r="AE37" s="127"/>
      <c r="AF37" s="127"/>
      <c r="AG37" s="127"/>
      <c r="AH37" s="127"/>
      <c r="AI37" s="123"/>
      <c r="AJ37" s="123"/>
      <c r="AK37" s="123"/>
      <c r="AL37" s="123"/>
      <c r="AM37" s="127"/>
      <c r="AN37" s="127"/>
      <c r="AO37" s="127"/>
      <c r="AP37" s="127"/>
      <c r="AQ37" s="135"/>
      <c r="AR37" s="135"/>
    </row>
    <row r="38" spans="1:44" ht="44.25" customHeight="1" x14ac:dyDescent="0.25">
      <c r="A38" s="109" t="s">
        <v>11</v>
      </c>
      <c r="B38" s="110"/>
      <c r="C38" s="2"/>
      <c r="D38" s="2"/>
      <c r="E38" s="2">
        <v>162585.41</v>
      </c>
      <c r="F38" s="2"/>
      <c r="G38" s="2">
        <f>410855.69+138863.03</f>
        <v>549718.72</v>
      </c>
      <c r="H38" s="2">
        <v>179639.45</v>
      </c>
      <c r="I38" s="2">
        <f>349786.74+482870.23</f>
        <v>832656.97</v>
      </c>
      <c r="J38" s="2">
        <v>179639.45</v>
      </c>
      <c r="K38" s="2">
        <f>325550.4+256894.84</f>
        <v>582445.24</v>
      </c>
      <c r="L38" s="2">
        <v>179639.45</v>
      </c>
      <c r="M38" s="2">
        <f>32098.35+367708.31</f>
        <v>399806.66</v>
      </c>
      <c r="N38" s="2">
        <v>179639.45</v>
      </c>
      <c r="O38" s="2">
        <f>19053.66+339996.73</f>
        <v>359050.38999999996</v>
      </c>
      <c r="P38" s="2">
        <v>179639.45</v>
      </c>
      <c r="Q38" s="2">
        <f>214101.64+184501.39</f>
        <v>398603.03</v>
      </c>
      <c r="R38" s="2">
        <v>179639.45</v>
      </c>
      <c r="S38" s="2">
        <f>293392.92+82646.26</f>
        <v>376039.18</v>
      </c>
      <c r="T38" s="2">
        <v>179639.45</v>
      </c>
      <c r="U38" s="2">
        <f>18347.3+293392.92</f>
        <v>311740.21999999997</v>
      </c>
      <c r="V38" s="2">
        <f>142806.04</f>
        <v>142806.04</v>
      </c>
      <c r="W38" s="2">
        <f>175124.05+248350.04</f>
        <v>423474.08999999997</v>
      </c>
      <c r="X38" s="2">
        <v>142806.04</v>
      </c>
      <c r="Y38" s="2">
        <v>99147.76</v>
      </c>
      <c r="Z38" s="2"/>
      <c r="AA38" s="16">
        <f>23731.53+27555.65</f>
        <v>51287.18</v>
      </c>
      <c r="AB38" s="16"/>
      <c r="AC38" s="16">
        <f>36698.81+43106.43</f>
        <v>79805.239999999991</v>
      </c>
      <c r="AD38" s="16"/>
      <c r="AE38" s="23">
        <f>AF38+16412.78</f>
        <v>238760.13999999998</v>
      </c>
      <c r="AF38" s="23">
        <f>104792.76+117554.6</f>
        <v>222347.36</v>
      </c>
      <c r="AG38" s="13"/>
      <c r="AH38" s="23"/>
      <c r="AI38" s="16">
        <f>54159.74+22819.27+80774.94</f>
        <v>157753.95000000001</v>
      </c>
      <c r="AJ38" s="29">
        <f>54159.74+22819.27</f>
        <v>76979.009999999995</v>
      </c>
      <c r="AK38" s="16"/>
      <c r="AL38" s="16"/>
      <c r="AM38" s="23">
        <f>100264.58+15500+105865.75+33019.09</f>
        <v>254649.42</v>
      </c>
      <c r="AN38" s="23">
        <f>100264.58+105865.75</f>
        <v>206130.33000000002</v>
      </c>
      <c r="AO38" s="23"/>
      <c r="AP38" s="23"/>
      <c r="AQ38" s="17"/>
      <c r="AR38" s="17"/>
    </row>
    <row r="39" spans="1:44" x14ac:dyDescent="0.25">
      <c r="A39" s="109" t="s">
        <v>8</v>
      </c>
      <c r="B39" s="110"/>
      <c r="C39" s="2"/>
      <c r="D39" s="2"/>
      <c r="E39" s="2"/>
      <c r="F39" s="2"/>
      <c r="G39" s="2">
        <f>1280106.96+331142.71</f>
        <v>1611249.67</v>
      </c>
      <c r="H39" s="2"/>
      <c r="I39" s="2">
        <f>1112706.33+292125.54</f>
        <v>1404831.87</v>
      </c>
      <c r="J39" s="2"/>
      <c r="K39" s="2">
        <f>1664826.89+424726.47</f>
        <v>2089553.3599999999</v>
      </c>
      <c r="L39" s="2"/>
      <c r="M39" s="2">
        <v>1291836.76</v>
      </c>
      <c r="N39" s="2"/>
      <c r="O39" s="2">
        <f>336869.12+1006180.12</f>
        <v>1343049.24</v>
      </c>
      <c r="P39" s="2"/>
      <c r="Q39" s="2">
        <f>290310.2+1054801</f>
        <v>1345111.2</v>
      </c>
      <c r="R39" s="2"/>
      <c r="S39" s="2">
        <f>210412.6+1031728.18</f>
        <v>1242140.78</v>
      </c>
      <c r="T39" s="2"/>
      <c r="U39" s="2">
        <f>144677.62+1051908.03</f>
        <v>1196585.6499999999</v>
      </c>
      <c r="V39" s="2"/>
      <c r="W39" s="2">
        <f>257630.31+1025805.39</f>
        <v>1283435.7</v>
      </c>
      <c r="X39" s="2"/>
      <c r="Y39" s="2"/>
      <c r="Z39" s="2"/>
      <c r="AA39" s="16">
        <f>367554.1+1092399.95</f>
        <v>1459954.0499999998</v>
      </c>
      <c r="AB39" s="16"/>
      <c r="AC39" s="16">
        <f>413160.07+976030.95</f>
        <v>1389191.02</v>
      </c>
      <c r="AD39" s="16"/>
      <c r="AE39" s="23">
        <f>AF39+20410</f>
        <v>1483828.69</v>
      </c>
      <c r="AF39" s="23">
        <f>399447.7+1063970.99</f>
        <v>1463418.69</v>
      </c>
      <c r="AG39" s="13"/>
      <c r="AH39" s="23"/>
      <c r="AI39" s="16">
        <f>399497.7+11131.38+1854102.36</f>
        <v>2264731.44</v>
      </c>
      <c r="AJ39" s="16">
        <f>399497.7+1854102.36</f>
        <v>2253600.06</v>
      </c>
      <c r="AK39" s="16"/>
      <c r="AL39" s="16"/>
      <c r="AM39" s="23">
        <f>291434.8+12534+2594352.74</f>
        <v>2898321.54</v>
      </c>
      <c r="AN39" s="23">
        <f>291434.8+2594352.74</f>
        <v>2885787.54</v>
      </c>
      <c r="AO39" s="23"/>
      <c r="AP39" s="23"/>
      <c r="AQ39" s="17"/>
      <c r="AR39" s="17"/>
    </row>
    <row r="40" spans="1:44" ht="30.75" customHeight="1" x14ac:dyDescent="0.25">
      <c r="A40" s="109" t="s">
        <v>9</v>
      </c>
      <c r="B40" s="110"/>
      <c r="C40" s="2"/>
      <c r="D40" s="2"/>
      <c r="E40" s="2"/>
      <c r="F40" s="2"/>
      <c r="G40" s="2">
        <f>191330.96+483962.51</f>
        <v>675293.47</v>
      </c>
      <c r="H40" s="2"/>
      <c r="I40" s="2">
        <f>171605.74+559066.92</f>
        <v>730672.66</v>
      </c>
      <c r="J40" s="2"/>
      <c r="K40" s="2">
        <f>209944.24+697945.82</f>
        <v>907890.05999999994</v>
      </c>
      <c r="L40" s="2"/>
      <c r="M40" s="2">
        <v>596611.02</v>
      </c>
      <c r="N40" s="2"/>
      <c r="O40" s="2">
        <f>198862.88+580042.1</f>
        <v>778904.98</v>
      </c>
      <c r="P40" s="2"/>
      <c r="Q40" s="2">
        <f>612669.18+219338.18</f>
        <v>832007.3600000001</v>
      </c>
      <c r="R40" s="2"/>
      <c r="S40" s="2">
        <f>201317.46+630998.38</f>
        <v>832315.84</v>
      </c>
      <c r="T40" s="2"/>
      <c r="U40" s="2">
        <f>184341.93+601701.1</f>
        <v>786043.03</v>
      </c>
      <c r="V40" s="2"/>
      <c r="W40" s="2">
        <f>177715.19+604861.18</f>
        <v>782576.37000000011</v>
      </c>
      <c r="X40" s="2"/>
      <c r="Y40" s="2">
        <v>-9193.7999999999993</v>
      </c>
      <c r="Z40" s="2"/>
      <c r="AA40" s="16">
        <f>254861.86+627161.14</f>
        <v>882023</v>
      </c>
      <c r="AB40" s="16"/>
      <c r="AC40" s="16">
        <f>363441.69+1320113.41</f>
        <v>1683555.0999999999</v>
      </c>
      <c r="AD40" s="16">
        <f>20923.56+643955.03</f>
        <v>664878.59000000008</v>
      </c>
      <c r="AE40" s="23">
        <f>AF40+9183.82</f>
        <v>2863942.15</v>
      </c>
      <c r="AF40" s="23">
        <f>469042.19+2385716.14</f>
        <v>2854758.33</v>
      </c>
      <c r="AG40" s="23">
        <v>1220473.1200000001</v>
      </c>
      <c r="AH40" s="23">
        <f>147655.46+1072817.66</f>
        <v>1220473.1199999999</v>
      </c>
      <c r="AI40" s="16">
        <f>283794.68+8867.96+960334.11</f>
        <v>1252996.75</v>
      </c>
      <c r="AJ40" s="16">
        <f>283794.68+960334.11</f>
        <v>1244128.79</v>
      </c>
      <c r="AK40" s="16"/>
      <c r="AL40" s="16"/>
      <c r="AM40" s="23">
        <f>210741.5+12725.33+1097537.33</f>
        <v>1321004.1600000001</v>
      </c>
      <c r="AN40" s="23">
        <f>210741.5+1097537.33</f>
        <v>1308278.83</v>
      </c>
      <c r="AO40" s="23"/>
      <c r="AP40" s="23"/>
      <c r="AQ40" s="17"/>
      <c r="AR40" s="17"/>
    </row>
    <row r="41" spans="1:44" x14ac:dyDescent="0.25">
      <c r="A41" s="109" t="s">
        <v>10</v>
      </c>
      <c r="B41" s="1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218898</f>
        <v>218898</v>
      </c>
      <c r="P41" s="2"/>
      <c r="Q41" s="2">
        <v>206882</v>
      </c>
      <c r="R41" s="2"/>
      <c r="S41" s="2">
        <v>165360</v>
      </c>
      <c r="T41" s="2"/>
      <c r="U41" s="2">
        <v>188686.65</v>
      </c>
      <c r="V41" s="2"/>
      <c r="W41" s="2">
        <f>191073</f>
        <v>191073</v>
      </c>
      <c r="X41" s="2"/>
      <c r="Y41" s="2">
        <v>-12759</v>
      </c>
      <c r="Z41" s="2"/>
      <c r="AA41" s="16"/>
      <c r="AB41" s="16"/>
      <c r="AC41" s="16"/>
      <c r="AD41" s="16"/>
      <c r="AE41" s="23">
        <f>AF41+1115</f>
        <v>94671.360000000001</v>
      </c>
      <c r="AF41" s="23">
        <v>93556.36</v>
      </c>
      <c r="AG41" s="23"/>
      <c r="AH41" s="23"/>
      <c r="AI41" s="16">
        <f>92285.57+477</f>
        <v>92762.57</v>
      </c>
      <c r="AJ41" s="16">
        <v>92285.57</v>
      </c>
      <c r="AK41" s="16"/>
      <c r="AL41" s="16"/>
      <c r="AM41" s="23">
        <f>98137.57+174</f>
        <v>98311.57</v>
      </c>
      <c r="AN41" s="23">
        <v>98137.57</v>
      </c>
      <c r="AO41" s="23"/>
      <c r="AP41" s="23"/>
      <c r="AQ41" s="17"/>
      <c r="AR41" s="17"/>
    </row>
    <row r="42" spans="1:44" x14ac:dyDescent="0.25">
      <c r="A42" s="109" t="s">
        <v>16</v>
      </c>
      <c r="B42" s="1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2683.17</v>
      </c>
      <c r="Z42" s="2"/>
      <c r="AA42" s="16">
        <v>199342.7</v>
      </c>
      <c r="AB42" s="16"/>
      <c r="AC42" s="16">
        <f>1258375.62</f>
        <v>1258375.6200000001</v>
      </c>
      <c r="AD42" s="16">
        <v>844102</v>
      </c>
      <c r="AE42" s="23">
        <f>AF42</f>
        <v>1362588.5</v>
      </c>
      <c r="AF42" s="23">
        <v>1362588.5</v>
      </c>
      <c r="AG42" s="23">
        <v>660120.76</v>
      </c>
      <c r="AH42" s="23">
        <v>660120.76</v>
      </c>
      <c r="AI42" s="16">
        <f>633441.77</f>
        <v>633441.77</v>
      </c>
      <c r="AJ42" s="16">
        <v>633441.77</v>
      </c>
      <c r="AK42" s="16"/>
      <c r="AL42" s="16"/>
      <c r="AM42" s="23">
        <f>614262.82</f>
        <v>614262.81999999995</v>
      </c>
      <c r="AN42" s="23">
        <v>614262.81999999995</v>
      </c>
      <c r="AO42" s="23"/>
      <c r="AP42" s="23"/>
      <c r="AQ42" s="17"/>
      <c r="AR42" s="17"/>
    </row>
    <row r="43" spans="1:44" x14ac:dyDescent="0.25">
      <c r="A43" s="111" t="s">
        <v>17</v>
      </c>
      <c r="B43" s="112"/>
      <c r="C43" s="115">
        <v>10765845.27</v>
      </c>
      <c r="D43" s="115">
        <v>7171240.7400000002</v>
      </c>
      <c r="E43" s="115">
        <f>SUM(E45:E49)</f>
        <v>13066265.32</v>
      </c>
      <c r="F43" s="115">
        <f>SUM(F45:F49)</f>
        <v>9363054.25</v>
      </c>
      <c r="G43" s="115">
        <f t="shared" ref="G43:AC43" si="9">SUM(G45:G49)</f>
        <v>12452961.670000002</v>
      </c>
      <c r="H43" s="115">
        <f t="shared" si="9"/>
        <v>10697359.270000001</v>
      </c>
      <c r="I43" s="115">
        <f t="shared" si="9"/>
        <v>10509503.82</v>
      </c>
      <c r="J43" s="115">
        <f t="shared" si="9"/>
        <v>9311032.910000002</v>
      </c>
      <c r="K43" s="115">
        <f t="shared" si="9"/>
        <v>9816963.7700000014</v>
      </c>
      <c r="L43" s="115">
        <f t="shared" si="9"/>
        <v>9514146.0000000019</v>
      </c>
      <c r="M43" s="115">
        <f t="shared" si="9"/>
        <v>10491903.119999999</v>
      </c>
      <c r="N43" s="115">
        <f t="shared" si="9"/>
        <v>10223094.629999999</v>
      </c>
      <c r="O43" s="115">
        <f t="shared" si="9"/>
        <v>11041075.82</v>
      </c>
      <c r="P43" s="115">
        <f t="shared" si="9"/>
        <v>9852688.540000001</v>
      </c>
      <c r="Q43" s="115">
        <f t="shared" si="9"/>
        <v>11491967.560000001</v>
      </c>
      <c r="R43" s="115">
        <f t="shared" si="9"/>
        <v>9865070.0600000005</v>
      </c>
      <c r="S43" s="115">
        <f t="shared" si="9"/>
        <v>12060303.5</v>
      </c>
      <c r="T43" s="115">
        <f t="shared" si="9"/>
        <v>10862190.040000001</v>
      </c>
      <c r="U43" s="115">
        <f t="shared" si="9"/>
        <v>11619250.300000001</v>
      </c>
      <c r="V43" s="115">
        <f t="shared" si="9"/>
        <v>9816511.040000001</v>
      </c>
      <c r="W43" s="115">
        <f t="shared" si="9"/>
        <v>11514591.1</v>
      </c>
      <c r="X43" s="115">
        <f t="shared" si="9"/>
        <v>10293165.02</v>
      </c>
      <c r="Y43" s="115">
        <f t="shared" si="9"/>
        <v>14972637.870000001</v>
      </c>
      <c r="Z43" s="115">
        <f t="shared" si="9"/>
        <v>11006589.689999999</v>
      </c>
      <c r="AA43" s="128">
        <f t="shared" si="9"/>
        <v>11434380.700000001</v>
      </c>
      <c r="AB43" s="128">
        <f t="shared" si="9"/>
        <v>1118646.56</v>
      </c>
      <c r="AC43" s="128">
        <f t="shared" si="9"/>
        <v>20378851.969999999</v>
      </c>
      <c r="AD43" s="128">
        <f t="shared" ref="AD43:AK43" si="10">AD45+AD46+AD47+AD48+AD49</f>
        <v>6845671.4899999993</v>
      </c>
      <c r="AE43" s="126">
        <f t="shared" si="10"/>
        <v>21821924</v>
      </c>
      <c r="AF43" s="126">
        <f t="shared" si="10"/>
        <v>1624721</v>
      </c>
      <c r="AG43" s="126">
        <f t="shared" si="10"/>
        <v>8640587.1999999993</v>
      </c>
      <c r="AH43" s="126">
        <f t="shared" si="10"/>
        <v>0</v>
      </c>
      <c r="AI43" s="122">
        <f t="shared" si="10"/>
        <v>16329235.25</v>
      </c>
      <c r="AJ43" s="122">
        <v>0</v>
      </c>
      <c r="AK43" s="122">
        <f t="shared" si="10"/>
        <v>5018242.82</v>
      </c>
      <c r="AL43" s="122">
        <v>0</v>
      </c>
      <c r="AM43" s="126">
        <f>AM45+AM46+AM47+AM48+AM49</f>
        <v>14828406.309999999</v>
      </c>
      <c r="AN43" s="126">
        <f>AN45+AN46+AN47+AN48+AN49</f>
        <v>0</v>
      </c>
      <c r="AO43" s="126">
        <f>AO45+AO46+AO47+AO48+AO49</f>
        <v>3457083</v>
      </c>
      <c r="AP43" s="126">
        <f>AP45+AP46+AP47+AP48+AP49</f>
        <v>0</v>
      </c>
      <c r="AQ43" s="134">
        <f>AM43/AI43-1</f>
        <v>-9.1910546759989997E-2</v>
      </c>
      <c r="AR43" s="134">
        <f>AO43/AK43-1</f>
        <v>-0.31109690702451909</v>
      </c>
    </row>
    <row r="44" spans="1:44" x14ac:dyDescent="0.25">
      <c r="A44" s="113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5"/>
      <c r="AB44" s="125"/>
      <c r="AC44" s="125"/>
      <c r="AD44" s="125"/>
      <c r="AE44" s="127"/>
      <c r="AF44" s="127"/>
      <c r="AG44" s="127"/>
      <c r="AH44" s="127"/>
      <c r="AI44" s="123"/>
      <c r="AJ44" s="123"/>
      <c r="AK44" s="123"/>
      <c r="AL44" s="123"/>
      <c r="AM44" s="127"/>
      <c r="AN44" s="127"/>
      <c r="AO44" s="127"/>
      <c r="AP44" s="127"/>
      <c r="AQ44" s="135"/>
      <c r="AR44" s="135"/>
    </row>
    <row r="45" spans="1:44" ht="46.5" customHeight="1" x14ac:dyDescent="0.25">
      <c r="A45" s="109" t="s">
        <v>11</v>
      </c>
      <c r="B45" s="110"/>
      <c r="C45" s="2"/>
      <c r="D45" s="2"/>
      <c r="E45" s="2">
        <v>1445875.56</v>
      </c>
      <c r="F45" s="2">
        <v>504057.32</v>
      </c>
      <c r="G45" s="2">
        <f>15780.83+1401592.32</f>
        <v>1417373.1500000001</v>
      </c>
      <c r="H45" s="2">
        <f>497307.75</f>
        <v>497307.75</v>
      </c>
      <c r="I45" s="2">
        <f>14359.15+1094634.15</f>
        <v>1108993.2999999998</v>
      </c>
      <c r="J45" s="2">
        <v>581610.39</v>
      </c>
      <c r="K45" s="2">
        <f>45290.3+812014.95</f>
        <v>857305.25</v>
      </c>
      <c r="L45" s="2">
        <v>554487.48</v>
      </c>
      <c r="M45" s="2">
        <f>22392+828113.09</f>
        <v>850505.09</v>
      </c>
      <c r="N45" s="2">
        <f>581696.6</f>
        <v>581696.6</v>
      </c>
      <c r="O45" s="2">
        <f>24207.15+1590490.12</f>
        <v>1614697.27</v>
      </c>
      <c r="P45" s="2">
        <f>484794.48</f>
        <v>484794.48</v>
      </c>
      <c r="Q45" s="2">
        <v>1906086.62</v>
      </c>
      <c r="R45" s="2"/>
      <c r="S45" s="2">
        <f>23600.15+1705289.54</f>
        <v>1728889.69</v>
      </c>
      <c r="T45" s="2">
        <v>530776.23</v>
      </c>
      <c r="U45" s="2">
        <f>2268996.34+30919.15</f>
        <v>2299915.4899999998</v>
      </c>
      <c r="V45" s="2">
        <v>497176.23</v>
      </c>
      <c r="W45" s="2">
        <f>2127960.81+48959.2</f>
        <v>2176920.0100000002</v>
      </c>
      <c r="X45" s="2">
        <v>955493.93</v>
      </c>
      <c r="Y45" s="2">
        <v>2219644.2799999998</v>
      </c>
      <c r="Z45" s="2">
        <f>782752.86</f>
        <v>782752.86</v>
      </c>
      <c r="AA45" s="16">
        <f>25455.33+3676740.99</f>
        <v>3702196.3200000003</v>
      </c>
      <c r="AB45" s="16">
        <v>370926</v>
      </c>
      <c r="AC45" s="16">
        <f>25119.87+10218497.79</f>
        <v>10243617.659999998</v>
      </c>
      <c r="AD45" s="16">
        <v>3812324.48</v>
      </c>
      <c r="AE45" s="23">
        <f>92866+7505896.09</f>
        <v>7598762.0899999999</v>
      </c>
      <c r="AF45" s="23">
        <v>1624721</v>
      </c>
      <c r="AG45" s="23">
        <v>1546341.78</v>
      </c>
      <c r="AH45" s="13"/>
      <c r="AI45" s="16">
        <f>36469.87+5446750.25</f>
        <v>5483220.1200000001</v>
      </c>
      <c r="AJ45" s="33">
        <v>0</v>
      </c>
      <c r="AK45" s="16">
        <v>2700000</v>
      </c>
      <c r="AL45" s="16">
        <v>0</v>
      </c>
      <c r="AM45" s="23">
        <f>64856.55+4625773.62</f>
        <v>4690630.17</v>
      </c>
      <c r="AN45" s="23"/>
      <c r="AO45" s="23">
        <v>2700000</v>
      </c>
      <c r="AP45" s="23"/>
      <c r="AQ45" s="17"/>
      <c r="AR45" s="17"/>
    </row>
    <row r="46" spans="1:44" x14ac:dyDescent="0.25">
      <c r="A46" s="109" t="s">
        <v>8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107414.79</v>
      </c>
      <c r="R46" s="2"/>
      <c r="S46" s="2"/>
      <c r="T46" s="2"/>
      <c r="U46" s="2"/>
      <c r="V46" s="2"/>
      <c r="W46" s="2"/>
      <c r="X46" s="2"/>
      <c r="Y46" s="2"/>
      <c r="Z46" s="2"/>
      <c r="AA46" s="16">
        <f>240366.78+3338386.23</f>
        <v>3578753.01</v>
      </c>
      <c r="AB46" s="16"/>
      <c r="AC46" s="16">
        <f>213303.85+3570475.36</f>
        <v>3783779.21</v>
      </c>
      <c r="AD46" s="16"/>
      <c r="AE46" s="23">
        <f>1048316.56+3892857.12</f>
        <v>4941173.68</v>
      </c>
      <c r="AF46" s="13"/>
      <c r="AG46" s="23"/>
      <c r="AH46" s="13"/>
      <c r="AI46" s="16">
        <f>1013379.37+4504888.09</f>
        <v>5518267.46</v>
      </c>
      <c r="AJ46" s="16"/>
      <c r="AK46" s="16"/>
      <c r="AL46" s="16"/>
      <c r="AM46" s="23">
        <f>1214758.02+4558081.35</f>
        <v>5772839.3699999992</v>
      </c>
      <c r="AN46" s="23"/>
      <c r="AO46" s="23"/>
      <c r="AP46" s="23"/>
      <c r="AQ46" s="17"/>
      <c r="AR46" s="17"/>
    </row>
    <row r="47" spans="1:44" ht="30" customHeight="1" x14ac:dyDescent="0.25">
      <c r="A47" s="109" t="s">
        <v>9</v>
      </c>
      <c r="B47" s="110"/>
      <c r="C47" s="2"/>
      <c r="D47" s="2"/>
      <c r="E47" s="2">
        <v>1463841.51</v>
      </c>
      <c r="F47" s="2"/>
      <c r="G47" s="2">
        <v>166700</v>
      </c>
      <c r="H47" s="2"/>
      <c r="I47" s="2"/>
      <c r="J47" s="2"/>
      <c r="K47" s="2"/>
      <c r="L47" s="2"/>
      <c r="M47" s="2"/>
      <c r="N47" s="2"/>
      <c r="O47" s="2">
        <v>27151.16</v>
      </c>
      <c r="P47" s="2"/>
      <c r="Q47" s="2">
        <v>78572.100000000006</v>
      </c>
      <c r="R47" s="2"/>
      <c r="S47" s="2"/>
      <c r="T47" s="2"/>
      <c r="U47" s="2"/>
      <c r="V47" s="2"/>
      <c r="W47" s="2"/>
      <c r="X47" s="2"/>
      <c r="Y47" s="2">
        <v>1439851.12</v>
      </c>
      <c r="Z47" s="2"/>
      <c r="AA47" s="16">
        <f>182858.49+1828141.64</f>
        <v>2011000.13</v>
      </c>
      <c r="AB47" s="16"/>
      <c r="AC47" s="16">
        <f>194574.38+2050743.86</f>
        <v>2245318.2400000002</v>
      </c>
      <c r="AD47" s="16"/>
      <c r="AE47" s="23">
        <f>763510.32+2959710.97+0.85</f>
        <v>3723222.14</v>
      </c>
      <c r="AF47" s="13"/>
      <c r="AG47" s="23">
        <f>317932.16+1222488.09</f>
        <v>1540420.25</v>
      </c>
      <c r="AH47" s="13"/>
      <c r="AI47" s="16">
        <f>840855.82+2166721.03</f>
        <v>3007576.8499999996</v>
      </c>
      <c r="AJ47" s="16"/>
      <c r="AK47" s="16"/>
      <c r="AL47" s="16"/>
      <c r="AM47" s="23">
        <f>484802.14+3120262.63</f>
        <v>3605064.77</v>
      </c>
      <c r="AN47" s="23"/>
      <c r="AO47" s="23"/>
      <c r="AP47" s="23"/>
      <c r="AQ47" s="17"/>
      <c r="AR47" s="17"/>
    </row>
    <row r="48" spans="1:44" x14ac:dyDescent="0.25">
      <c r="A48" s="109" t="s">
        <v>10</v>
      </c>
      <c r="B48" s="110"/>
      <c r="C48" s="2"/>
      <c r="D48" s="2"/>
      <c r="E48" s="2">
        <v>10156548.25</v>
      </c>
      <c r="F48" s="2">
        <v>8858996.9299999997</v>
      </c>
      <c r="G48" s="2">
        <f>317.3+10868571.22</f>
        <v>10868888.520000001</v>
      </c>
      <c r="H48" s="2">
        <f>10199734.22+317.3</f>
        <v>10200051.520000001</v>
      </c>
      <c r="I48" s="2">
        <f>317.3+9400193.22</f>
        <v>9400510.5200000014</v>
      </c>
      <c r="J48" s="2">
        <f>317.3+8729105.22</f>
        <v>8729422.5200000014</v>
      </c>
      <c r="K48" s="2">
        <f>317.3+8959341.22</f>
        <v>8959658.5200000014</v>
      </c>
      <c r="L48" s="2">
        <f>317.3+8959341.22</f>
        <v>8959658.5200000014</v>
      </c>
      <c r="M48" s="2">
        <v>9641398.0299999993</v>
      </c>
      <c r="N48" s="2">
        <v>9641398.0299999993</v>
      </c>
      <c r="O48" s="2">
        <f>9367894.06</f>
        <v>9367894.0600000005</v>
      </c>
      <c r="P48" s="2">
        <f>9367894.06</f>
        <v>9367894.0600000005</v>
      </c>
      <c r="Q48" s="2">
        <f>9367894.06</f>
        <v>9367894.0600000005</v>
      </c>
      <c r="R48" s="2">
        <v>9865070.0600000005</v>
      </c>
      <c r="S48" s="2">
        <v>10331413.810000001</v>
      </c>
      <c r="T48" s="2">
        <v>10331413.810000001</v>
      </c>
      <c r="U48" s="2">
        <v>9319334.8100000005</v>
      </c>
      <c r="V48" s="2">
        <v>9319334.8100000005</v>
      </c>
      <c r="W48" s="2">
        <f>9337671.09</f>
        <v>9337671.0899999999</v>
      </c>
      <c r="X48" s="2">
        <v>9337671.0899999999</v>
      </c>
      <c r="Y48" s="2">
        <v>11178667.26</v>
      </c>
      <c r="Z48" s="2">
        <v>10089361.619999999</v>
      </c>
      <c r="AA48" s="16">
        <f>41557.97+1353152.71</f>
        <v>1394710.68</v>
      </c>
      <c r="AB48" s="16"/>
      <c r="AC48" s="16">
        <f>79834.83+2444326.98</f>
        <v>2524161.81</v>
      </c>
      <c r="AD48" s="16">
        <v>1451371.96</v>
      </c>
      <c r="AE48" s="23">
        <f>15039+567180.92</f>
        <v>582219.92000000004</v>
      </c>
      <c r="AF48" s="13"/>
      <c r="AG48" s="23">
        <f>15039+562240</f>
        <v>577279</v>
      </c>
      <c r="AH48" s="13"/>
      <c r="AI48" s="16">
        <v>497002</v>
      </c>
      <c r="AJ48" s="16"/>
      <c r="AK48" s="16">
        <v>495074</v>
      </c>
      <c r="AL48" s="16"/>
      <c r="AM48" s="23">
        <v>759872</v>
      </c>
      <c r="AN48" s="23"/>
      <c r="AO48" s="23">
        <v>757083</v>
      </c>
      <c r="AP48" s="23"/>
      <c r="AQ48" s="17"/>
      <c r="AR48" s="17"/>
    </row>
    <row r="49" spans="1:44" x14ac:dyDescent="0.25">
      <c r="A49" s="109" t="s">
        <v>16</v>
      </c>
      <c r="B49" s="1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31333.33</v>
      </c>
      <c r="P49" s="2"/>
      <c r="Q49" s="2">
        <v>31999.99</v>
      </c>
      <c r="R49" s="2"/>
      <c r="S49" s="2"/>
      <c r="T49" s="2"/>
      <c r="U49" s="2"/>
      <c r="V49" s="2"/>
      <c r="W49" s="2"/>
      <c r="X49" s="2"/>
      <c r="Y49" s="2">
        <v>134475.21</v>
      </c>
      <c r="Z49" s="2">
        <v>134475.21</v>
      </c>
      <c r="AA49" s="16">
        <v>747720.56</v>
      </c>
      <c r="AB49" s="16">
        <v>747720.56</v>
      </c>
      <c r="AC49" s="16">
        <v>1581975.05</v>
      </c>
      <c r="AD49" s="16">
        <v>1581975.05</v>
      </c>
      <c r="AE49" s="23">
        <v>4976546.17</v>
      </c>
      <c r="AF49" s="13"/>
      <c r="AG49" s="23">
        <v>4976546.17</v>
      </c>
      <c r="AH49" s="13"/>
      <c r="AI49" s="16">
        <v>1823168.82</v>
      </c>
      <c r="AJ49" s="16"/>
      <c r="AK49" s="16">
        <v>1823168.82</v>
      </c>
      <c r="AL49" s="16"/>
      <c r="AM49" s="23"/>
      <c r="AN49" s="23"/>
      <c r="AO49" s="23"/>
      <c r="AP49" s="23"/>
      <c r="AQ49" s="17"/>
      <c r="AR49" s="17"/>
    </row>
    <row r="50" spans="1:44" hidden="1" x14ac:dyDescent="0.25">
      <c r="A50" s="111" t="s">
        <v>4</v>
      </c>
      <c r="B50" s="112"/>
      <c r="C50" s="115">
        <v>654159.29</v>
      </c>
      <c r="D50" s="115">
        <f>SUM(D52:D56)</f>
        <v>0</v>
      </c>
      <c r="E50" s="115">
        <f t="shared" ref="E50:Z50" si="11">SUM(E52:E56)</f>
        <v>159427.71</v>
      </c>
      <c r="F50" s="115">
        <f t="shared" si="11"/>
        <v>156150</v>
      </c>
      <c r="G50" s="115">
        <f t="shared" si="11"/>
        <v>166323.26</v>
      </c>
      <c r="H50" s="115">
        <f t="shared" si="11"/>
        <v>156150</v>
      </c>
      <c r="I50" s="115">
        <f t="shared" si="11"/>
        <v>158187.54</v>
      </c>
      <c r="J50" s="115">
        <f t="shared" si="11"/>
        <v>156150</v>
      </c>
      <c r="K50" s="115">
        <f t="shared" si="11"/>
        <v>157389.10999999999</v>
      </c>
      <c r="L50" s="115">
        <f t="shared" si="11"/>
        <v>156150</v>
      </c>
      <c r="M50" s="115">
        <f t="shared" si="11"/>
        <v>162310.56</v>
      </c>
      <c r="N50" s="115">
        <f t="shared" si="11"/>
        <v>156150</v>
      </c>
      <c r="O50" s="115">
        <f t="shared" si="11"/>
        <v>158206.72</v>
      </c>
      <c r="P50" s="115">
        <f t="shared" si="11"/>
        <v>156150</v>
      </c>
      <c r="Q50" s="115">
        <f t="shared" si="11"/>
        <v>162910.32999999999</v>
      </c>
      <c r="R50" s="115">
        <f t="shared" si="11"/>
        <v>156150</v>
      </c>
      <c r="S50" s="115">
        <f t="shared" si="11"/>
        <v>159608.60999999999</v>
      </c>
      <c r="T50" s="115">
        <f t="shared" si="11"/>
        <v>156150</v>
      </c>
      <c r="U50" s="115">
        <f t="shared" si="11"/>
        <v>157986.35</v>
      </c>
      <c r="V50" s="115">
        <f t="shared" si="11"/>
        <v>156150</v>
      </c>
      <c r="W50" s="115">
        <f t="shared" si="11"/>
        <v>159926.9</v>
      </c>
      <c r="X50" s="115">
        <f t="shared" si="11"/>
        <v>156150</v>
      </c>
      <c r="Y50" s="115">
        <f t="shared" si="11"/>
        <v>0</v>
      </c>
      <c r="Z50" s="115">
        <f t="shared" si="11"/>
        <v>0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129">
        <f>Y50/E50-1</f>
        <v>-1</v>
      </c>
      <c r="AR50" s="129">
        <f>Z50/F50-1</f>
        <v>-1</v>
      </c>
    </row>
    <row r="51" spans="1:44" hidden="1" x14ac:dyDescent="0.25">
      <c r="A51" s="113"/>
      <c r="B51" s="11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130"/>
      <c r="AR51" s="130"/>
    </row>
    <row r="52" spans="1:44" hidden="1" x14ac:dyDescent="0.25">
      <c r="A52" s="109" t="s">
        <v>11</v>
      </c>
      <c r="B52" s="110"/>
      <c r="C52" s="2"/>
      <c r="D52" s="2"/>
      <c r="E52" s="2">
        <v>2936.71</v>
      </c>
      <c r="F52" s="2"/>
      <c r="G52" s="2">
        <v>10173.26</v>
      </c>
      <c r="H52" s="2"/>
      <c r="I52" s="2">
        <v>2037.54</v>
      </c>
      <c r="J52" s="2"/>
      <c r="K52" s="2">
        <v>1239.1099999999999</v>
      </c>
      <c r="L52" s="2"/>
      <c r="M52" s="2">
        <v>6160.56</v>
      </c>
      <c r="N52" s="2"/>
      <c r="O52" s="2">
        <v>2056.7199999999998</v>
      </c>
      <c r="P52" s="2"/>
      <c r="Q52" s="2">
        <v>4968.33</v>
      </c>
      <c r="R52" s="2"/>
      <c r="S52" s="2">
        <v>3458.61</v>
      </c>
      <c r="T52" s="2"/>
      <c r="U52" s="2">
        <v>1836.35</v>
      </c>
      <c r="V52" s="2"/>
      <c r="W52" s="2">
        <v>3776.9</v>
      </c>
      <c r="X52" s="2"/>
      <c r="Y52" s="2"/>
      <c r="Z52" s="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31"/>
      <c r="AR52" s="31"/>
    </row>
    <row r="53" spans="1:44" hidden="1" x14ac:dyDescent="0.25">
      <c r="A53" s="109" t="s">
        <v>8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31"/>
      <c r="AR53" s="31"/>
    </row>
    <row r="54" spans="1:44" hidden="1" x14ac:dyDescent="0.25">
      <c r="A54" s="109" t="s">
        <v>9</v>
      </c>
      <c r="B54" s="110"/>
      <c r="C54" s="2"/>
      <c r="D54" s="2"/>
      <c r="E54" s="2">
        <v>-10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31"/>
      <c r="AR54" s="31"/>
    </row>
    <row r="55" spans="1:44" hidden="1" x14ac:dyDescent="0.25">
      <c r="A55" s="109" t="s">
        <v>10</v>
      </c>
      <c r="B55" s="110"/>
      <c r="C55" s="2"/>
      <c r="D55" s="2"/>
      <c r="E55" s="2">
        <v>351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1792</v>
      </c>
      <c r="R55" s="2"/>
      <c r="S55" s="2"/>
      <c r="T55" s="2"/>
      <c r="U55" s="2"/>
      <c r="V55" s="2"/>
      <c r="W55" s="2"/>
      <c r="X55" s="2"/>
      <c r="Y55" s="2"/>
      <c r="Z55" s="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1"/>
      <c r="AR55" s="31"/>
    </row>
    <row r="56" spans="1:44" hidden="1" x14ac:dyDescent="0.25">
      <c r="A56" s="109" t="s">
        <v>16</v>
      </c>
      <c r="B56" s="110"/>
      <c r="C56" s="2"/>
      <c r="D56" s="2"/>
      <c r="E56" s="2">
        <v>156150</v>
      </c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0</v>
      </c>
      <c r="Z56" s="2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1"/>
      <c r="AR56" s="31"/>
    </row>
    <row r="57" spans="1:44" x14ac:dyDescent="0.25">
      <c r="A57" s="111" t="s">
        <v>18</v>
      </c>
      <c r="B57" s="112"/>
      <c r="C57" s="107">
        <v>10829169.880000001</v>
      </c>
      <c r="D57" s="107">
        <f>1640975.89+2975186.97+988391.8</f>
        <v>5604554.6600000001</v>
      </c>
      <c r="E57" s="107">
        <f>SUM(E59:E63)</f>
        <v>6197764.7700000005</v>
      </c>
      <c r="F57" s="107">
        <f>SUM(F59:F63)</f>
        <v>3749667.49</v>
      </c>
      <c r="G57" s="107">
        <f t="shared" ref="G57:AD57" si="12">SUM(G59:G63)</f>
        <v>6852948.2799999993</v>
      </c>
      <c r="H57" s="107">
        <f t="shared" si="12"/>
        <v>3749667.49</v>
      </c>
      <c r="I57" s="107">
        <f t="shared" si="12"/>
        <v>5929212.6499999994</v>
      </c>
      <c r="J57" s="107">
        <f t="shared" si="12"/>
        <v>2974471.0500000003</v>
      </c>
      <c r="K57" s="107">
        <f t="shared" si="12"/>
        <v>7559967.5599999996</v>
      </c>
      <c r="L57" s="107">
        <f t="shared" si="12"/>
        <v>2974471.0500000003</v>
      </c>
      <c r="M57" s="107">
        <f t="shared" si="12"/>
        <v>6930316.6799999997</v>
      </c>
      <c r="N57" s="107">
        <f t="shared" si="12"/>
        <v>4894294.6399999997</v>
      </c>
      <c r="O57" s="107">
        <f t="shared" si="12"/>
        <v>7219255.4799999995</v>
      </c>
      <c r="P57" s="107">
        <f t="shared" si="12"/>
        <v>4894294.6399999997</v>
      </c>
      <c r="Q57" s="107">
        <f t="shared" si="12"/>
        <v>9600917.8499999996</v>
      </c>
      <c r="R57" s="107">
        <f t="shared" si="12"/>
        <v>4651292.82</v>
      </c>
      <c r="S57" s="107">
        <f t="shared" si="12"/>
        <v>8525632.5199999996</v>
      </c>
      <c r="T57" s="107">
        <f t="shared" si="12"/>
        <v>4005766.16</v>
      </c>
      <c r="U57" s="107">
        <f t="shared" si="12"/>
        <v>10599393.380000001</v>
      </c>
      <c r="V57" s="107">
        <f t="shared" si="12"/>
        <v>1496363.55</v>
      </c>
      <c r="W57" s="107">
        <f t="shared" si="12"/>
        <v>20377243.73</v>
      </c>
      <c r="X57" s="107">
        <f t="shared" si="12"/>
        <v>1496363.55</v>
      </c>
      <c r="Y57" s="107">
        <f t="shared" si="12"/>
        <v>20412653.610000003</v>
      </c>
      <c r="Z57" s="107">
        <f t="shared" si="12"/>
        <v>13308419.82</v>
      </c>
      <c r="AA57" s="124">
        <f t="shared" si="12"/>
        <v>54055934.440000005</v>
      </c>
      <c r="AB57" s="124">
        <f t="shared" si="12"/>
        <v>17697811.539999999</v>
      </c>
      <c r="AC57" s="124">
        <f t="shared" si="12"/>
        <v>61418098.109999999</v>
      </c>
      <c r="AD57" s="124">
        <f t="shared" si="12"/>
        <v>39172056.890000001</v>
      </c>
      <c r="AE57" s="118">
        <f>AE59+AE60+AE61+AE62+AE63</f>
        <v>12238071.009999998</v>
      </c>
      <c r="AF57" s="118">
        <f>AF59+AF60+AF61+AF62+AF63</f>
        <v>4454905.63</v>
      </c>
      <c r="AG57" s="118">
        <f>AG59+AG60+AG61+AG62+AG63</f>
        <v>401041.57</v>
      </c>
      <c r="AH57" s="118">
        <f>AH59+AH60+AH61+AH62+AH63</f>
        <v>0</v>
      </c>
      <c r="AI57" s="120">
        <f>AI59+AI60+AI61+AI62+AI63</f>
        <v>75253.62</v>
      </c>
      <c r="AJ57" s="120">
        <v>0</v>
      </c>
      <c r="AK57" s="120">
        <v>0</v>
      </c>
      <c r="AL57" s="120">
        <v>0</v>
      </c>
      <c r="AM57" s="118">
        <f>AM59+AM60+AM61+AM62+AM63</f>
        <v>0</v>
      </c>
      <c r="AN57" s="118">
        <f>AN59+AN60+AN61+AN62+AN63</f>
        <v>0</v>
      </c>
      <c r="AO57" s="118">
        <f>AO59+AO60+AO61+AO62+AO63</f>
        <v>0</v>
      </c>
      <c r="AP57" s="118">
        <f>AP59+AP60+AP61+AP62+AP63</f>
        <v>0</v>
      </c>
      <c r="AQ57" s="134">
        <f>AM57/AI57-1</f>
        <v>-1</v>
      </c>
      <c r="AR57" s="134" t="e">
        <f>AO57/AK57-1</f>
        <v>#DIV/0!</v>
      </c>
    </row>
    <row r="58" spans="1:44" ht="14.25" customHeight="1" x14ac:dyDescent="0.25">
      <c r="A58" s="113"/>
      <c r="B58" s="11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5"/>
      <c r="AB58" s="125"/>
      <c r="AC58" s="125"/>
      <c r="AD58" s="125"/>
      <c r="AE58" s="119"/>
      <c r="AF58" s="119"/>
      <c r="AG58" s="119"/>
      <c r="AH58" s="119"/>
      <c r="AI58" s="121"/>
      <c r="AJ58" s="121"/>
      <c r="AK58" s="121"/>
      <c r="AL58" s="121"/>
      <c r="AM58" s="119"/>
      <c r="AN58" s="119"/>
      <c r="AO58" s="119"/>
      <c r="AP58" s="119"/>
      <c r="AQ58" s="135"/>
      <c r="AR58" s="135"/>
    </row>
    <row r="59" spans="1:44" hidden="1" x14ac:dyDescent="0.25">
      <c r="A59" s="109" t="s">
        <v>11</v>
      </c>
      <c r="B59" s="110"/>
      <c r="C59" s="1"/>
      <c r="D59" s="1"/>
      <c r="E59" s="1">
        <v>6195284.0800000001</v>
      </c>
      <c r="F59" s="1">
        <f>3363056.56+386610.93</f>
        <v>3749667.49</v>
      </c>
      <c r="G59" s="1">
        <f>2263909.36+4559378.25</f>
        <v>6823287.6099999994</v>
      </c>
      <c r="H59" s="1">
        <f>386610.93+3363056.56</f>
        <v>3749667.49</v>
      </c>
      <c r="I59" s="1">
        <f>1799893.76+4099496.79</f>
        <v>5899390.5499999998</v>
      </c>
      <c r="J59" s="1">
        <f>386610.93+2587860.12</f>
        <v>2974471.0500000003</v>
      </c>
      <c r="K59" s="1">
        <f>5416106.16+2141154.26+1386.18+1320.96</f>
        <v>7559967.5599999996</v>
      </c>
      <c r="L59" s="1">
        <f>2587860.12+386610.93</f>
        <v>2974471.0500000003</v>
      </c>
      <c r="M59" s="1">
        <v>6930316.6799999997</v>
      </c>
      <c r="N59" s="1">
        <v>4894294.6399999997</v>
      </c>
      <c r="O59" s="1">
        <f>1865798.47+5348998.75</f>
        <v>7214797.2199999997</v>
      </c>
      <c r="P59" s="1">
        <f>386610.93+4507683.71</f>
        <v>4894294.6399999997</v>
      </c>
      <c r="Q59" s="1">
        <v>9600917.8499999996</v>
      </c>
      <c r="R59" s="1">
        <v>4651292.82</v>
      </c>
      <c r="S59" s="1">
        <f>2951333.92+5555295.68+15251.76+3751.16</f>
        <v>8525632.5199999996</v>
      </c>
      <c r="T59" s="1">
        <f>3619155.23+386610.93</f>
        <v>4005766.16</v>
      </c>
      <c r="U59" s="1">
        <f>1992205.58+8591549.02+5323.15+10315.63</f>
        <v>10599393.380000001</v>
      </c>
      <c r="V59" s="1">
        <f>1109752.62+386610.93</f>
        <v>1496363.55</v>
      </c>
      <c r="W59" s="1">
        <f>10545735.23+9823125.67+3422.46+4960.37</f>
        <v>20377243.73</v>
      </c>
      <c r="X59" s="1">
        <f>386610.93+1109752.62</f>
        <v>1496363.55</v>
      </c>
      <c r="Y59" s="1">
        <v>20441640.960000001</v>
      </c>
      <c r="Z59" s="1">
        <v>13308419.82</v>
      </c>
      <c r="AA59" s="19">
        <f>33166250.55+116.03+20185020.65+10333.24-153588.27</f>
        <v>53208132.200000003</v>
      </c>
      <c r="AB59" s="19">
        <f>17535000.48+162811.06-153588.27</f>
        <v>17544223.27</v>
      </c>
      <c r="AC59" s="19">
        <f>44014737.97+19482.3+16465957.71</f>
        <v>60500177.979999997</v>
      </c>
      <c r="AD59" s="19">
        <f>29503554.98+9668501.91</f>
        <v>39172056.890000001</v>
      </c>
      <c r="AE59" s="28">
        <v>11770839.189999999</v>
      </c>
      <c r="AF59" s="28">
        <v>4454905.63</v>
      </c>
      <c r="AG59" s="28">
        <v>401041.57</v>
      </c>
      <c r="AH59" s="12"/>
      <c r="AI59" s="19">
        <v>75253.62</v>
      </c>
      <c r="AJ59" s="19">
        <v>0</v>
      </c>
      <c r="AK59" s="19">
        <v>0</v>
      </c>
      <c r="AL59" s="19"/>
      <c r="AM59" s="28"/>
      <c r="AN59" s="28"/>
      <c r="AO59" s="28"/>
      <c r="AP59" s="28"/>
      <c r="AQ59" s="46"/>
      <c r="AR59" s="46"/>
    </row>
    <row r="60" spans="1:44" x14ac:dyDescent="0.25">
      <c r="A60" s="109" t="s">
        <v>8</v>
      </c>
      <c r="B60" s="1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9">
        <f>174701.03+239873.77</f>
        <v>414574.8</v>
      </c>
      <c r="AB60" s="19"/>
      <c r="AC60" s="19">
        <f>340113.75+6309.58+298211.41</f>
        <v>644634.74</v>
      </c>
      <c r="AD60" s="19"/>
      <c r="AE60" s="28">
        <f>180975.63+90797+9669.95</f>
        <v>281442.58</v>
      </c>
      <c r="AF60" s="12"/>
      <c r="AG60" s="12"/>
      <c r="AH60" s="12"/>
      <c r="AI60" s="19"/>
      <c r="AJ60" s="19"/>
      <c r="AK60" s="19"/>
      <c r="AL60" s="19"/>
      <c r="AM60" s="12"/>
      <c r="AN60" s="12"/>
      <c r="AO60" s="12"/>
      <c r="AP60" s="12"/>
      <c r="AQ60" s="39"/>
      <c r="AR60" s="39"/>
    </row>
    <row r="61" spans="1:44" ht="13.5" customHeight="1" x14ac:dyDescent="0.25">
      <c r="A61" s="109" t="s">
        <v>9</v>
      </c>
      <c r="B61" s="110"/>
      <c r="C61" s="1"/>
      <c r="D61" s="1"/>
      <c r="E61" s="1"/>
      <c r="F61" s="1"/>
      <c r="G61" s="1">
        <v>-0.01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9">
        <v>150004.17000000001</v>
      </c>
      <c r="AB61" s="19"/>
      <c r="AC61" s="19">
        <f>218911.42+53273.97</f>
        <v>272185.39</v>
      </c>
      <c r="AD61" s="19"/>
      <c r="AE61" s="28">
        <v>185472.7</v>
      </c>
      <c r="AF61" s="12"/>
      <c r="AG61" s="12"/>
      <c r="AH61" s="12"/>
      <c r="AI61" s="19"/>
      <c r="AJ61" s="19"/>
      <c r="AK61" s="19"/>
      <c r="AL61" s="19"/>
      <c r="AM61" s="12"/>
      <c r="AN61" s="12"/>
      <c r="AO61" s="12"/>
      <c r="AP61" s="12"/>
      <c r="AQ61" s="39"/>
      <c r="AR61" s="39"/>
    </row>
    <row r="62" spans="1:44" x14ac:dyDescent="0.25">
      <c r="A62" s="109" t="s">
        <v>10</v>
      </c>
      <c r="B62" s="110"/>
      <c r="C62" s="1"/>
      <c r="D62" s="1"/>
      <c r="E62" s="1"/>
      <c r="F62" s="1"/>
      <c r="G62" s="1">
        <v>-67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-94199.79</v>
      </c>
      <c r="Z62" s="1"/>
      <c r="AA62" s="19">
        <f>129635</f>
        <v>129635</v>
      </c>
      <c r="AB62" s="19"/>
      <c r="AC62" s="19"/>
      <c r="AD62" s="19"/>
      <c r="AE62" s="28"/>
      <c r="AF62" s="12"/>
      <c r="AG62" s="12"/>
      <c r="AH62" s="12"/>
      <c r="AI62" s="19"/>
      <c r="AJ62" s="19"/>
      <c r="AK62" s="19"/>
      <c r="AL62" s="19"/>
      <c r="AM62" s="12"/>
      <c r="AN62" s="12"/>
      <c r="AO62" s="12"/>
      <c r="AP62" s="12"/>
      <c r="AQ62" s="39"/>
      <c r="AR62" s="39"/>
    </row>
    <row r="63" spans="1:44" x14ac:dyDescent="0.25">
      <c r="A63" s="109" t="s">
        <v>16</v>
      </c>
      <c r="B63" s="110"/>
      <c r="C63" s="1"/>
      <c r="D63" s="1"/>
      <c r="E63" s="1">
        <v>2480.69</v>
      </c>
      <c r="F63" s="1"/>
      <c r="G63" s="1">
        <f>10138.57+19589.11</f>
        <v>29727.68</v>
      </c>
      <c r="H63" s="1"/>
      <c r="I63" s="1">
        <f>14183.88+15638.22</f>
        <v>29822.1</v>
      </c>
      <c r="J63" s="1"/>
      <c r="K63" s="1"/>
      <c r="L63" s="1"/>
      <c r="M63" s="1"/>
      <c r="N63" s="1"/>
      <c r="O63" s="1">
        <v>4458.26</v>
      </c>
      <c r="P63" s="1"/>
      <c r="Q63" s="1"/>
      <c r="R63" s="1"/>
      <c r="S63" s="1"/>
      <c r="T63" s="1"/>
      <c r="U63" s="1"/>
      <c r="V63" s="1"/>
      <c r="W63" s="1"/>
      <c r="X63" s="1"/>
      <c r="Y63" s="1">
        <v>65212.44</v>
      </c>
      <c r="Z63" s="1"/>
      <c r="AA63" s="19">
        <v>153588.26999999999</v>
      </c>
      <c r="AB63" s="19">
        <v>153588.26999999999</v>
      </c>
      <c r="AC63" s="19">
        <v>1100</v>
      </c>
      <c r="AD63" s="19"/>
      <c r="AE63" s="28">
        <v>316.54000000000002</v>
      </c>
      <c r="AF63" s="12"/>
      <c r="AG63" s="12"/>
      <c r="AH63" s="12"/>
      <c r="AI63" s="19"/>
      <c r="AJ63" s="19"/>
      <c r="AK63" s="19"/>
      <c r="AL63" s="19"/>
      <c r="AM63" s="12"/>
      <c r="AN63" s="12"/>
      <c r="AO63" s="12"/>
      <c r="AP63" s="12"/>
      <c r="AQ63" s="39"/>
      <c r="AR63" s="39"/>
    </row>
    <row r="64" spans="1:44" x14ac:dyDescent="0.25">
      <c r="A64" s="111" t="s">
        <v>15</v>
      </c>
      <c r="B64" s="112"/>
      <c r="C64" s="115">
        <v>-1470.89</v>
      </c>
      <c r="D64" s="115">
        <f>SUM(D66:D70)</f>
        <v>0</v>
      </c>
      <c r="E64" s="115">
        <f t="shared" ref="E64:AB64" si="13">SUM(E66:E70)</f>
        <v>741.25</v>
      </c>
      <c r="F64" s="115">
        <f t="shared" si="13"/>
        <v>0</v>
      </c>
      <c r="G64" s="115">
        <f t="shared" si="13"/>
        <v>0</v>
      </c>
      <c r="H64" s="115">
        <f t="shared" si="13"/>
        <v>0</v>
      </c>
      <c r="I64" s="115">
        <f t="shared" si="13"/>
        <v>0</v>
      </c>
      <c r="J64" s="115">
        <f t="shared" si="13"/>
        <v>0</v>
      </c>
      <c r="K64" s="115">
        <f t="shared" si="13"/>
        <v>0</v>
      </c>
      <c r="L64" s="115">
        <f t="shared" si="13"/>
        <v>0</v>
      </c>
      <c r="M64" s="115">
        <f t="shared" si="13"/>
        <v>0</v>
      </c>
      <c r="N64" s="115">
        <f t="shared" si="13"/>
        <v>0</v>
      </c>
      <c r="O64" s="115">
        <f t="shared" si="13"/>
        <v>0</v>
      </c>
      <c r="P64" s="115">
        <f t="shared" si="13"/>
        <v>0</v>
      </c>
      <c r="Q64" s="115">
        <f t="shared" si="13"/>
        <v>0</v>
      </c>
      <c r="R64" s="115">
        <f t="shared" si="13"/>
        <v>0</v>
      </c>
      <c r="S64" s="115">
        <f t="shared" si="13"/>
        <v>0</v>
      </c>
      <c r="T64" s="115">
        <f t="shared" si="13"/>
        <v>0</v>
      </c>
      <c r="U64" s="115">
        <f t="shared" si="13"/>
        <v>0</v>
      </c>
      <c r="V64" s="115">
        <f t="shared" si="13"/>
        <v>0</v>
      </c>
      <c r="W64" s="115">
        <f t="shared" si="13"/>
        <v>0</v>
      </c>
      <c r="X64" s="115">
        <f t="shared" si="13"/>
        <v>0</v>
      </c>
      <c r="Y64" s="115">
        <f t="shared" si="13"/>
        <v>0</v>
      </c>
      <c r="Z64" s="115">
        <f t="shared" si="13"/>
        <v>0</v>
      </c>
      <c r="AA64" s="128">
        <f>AA66+AA67+AA68+AA69+AA70</f>
        <v>84248.31</v>
      </c>
      <c r="AB64" s="128">
        <f t="shared" si="13"/>
        <v>0</v>
      </c>
      <c r="AC64" s="128">
        <f>SUM(AC66:AC70)</f>
        <v>130082.92000000001</v>
      </c>
      <c r="AD64" s="128">
        <f>SUM(AD66:AD70)</f>
        <v>0</v>
      </c>
      <c r="AE64" s="126">
        <f t="shared" ref="AE64:AL64" si="14">AE66+AE67+AE68+AE69+AE70</f>
        <v>122664.07</v>
      </c>
      <c r="AF64" s="126">
        <f t="shared" si="14"/>
        <v>0</v>
      </c>
      <c r="AG64" s="126">
        <f t="shared" si="14"/>
        <v>0</v>
      </c>
      <c r="AH64" s="126">
        <f t="shared" si="14"/>
        <v>0</v>
      </c>
      <c r="AI64" s="122">
        <f t="shared" si="14"/>
        <v>45365.68</v>
      </c>
      <c r="AJ64" s="122">
        <f t="shared" si="14"/>
        <v>0</v>
      </c>
      <c r="AK64" s="122">
        <v>0</v>
      </c>
      <c r="AL64" s="122">
        <f t="shared" si="14"/>
        <v>0</v>
      </c>
      <c r="AM64" s="126">
        <f>AM66+AM67+AM68+AM69+AM70</f>
        <v>77240.02</v>
      </c>
      <c r="AN64" s="126">
        <f>AN66+AN67+AN68+AN69+AN70</f>
        <v>0</v>
      </c>
      <c r="AO64" s="126">
        <f>AO66+AO67+AO68+AO69+AO70</f>
        <v>0</v>
      </c>
      <c r="AP64" s="126">
        <f>AP66+AP67+AP68+AP69+AP70</f>
        <v>0</v>
      </c>
      <c r="AQ64" s="134">
        <f>AM64/AI64-1</f>
        <v>0.70260910891228789</v>
      </c>
      <c r="AR64" s="134" t="e">
        <f>AO64/AK64-1</f>
        <v>#DIV/0!</v>
      </c>
    </row>
    <row r="65" spans="1:44" x14ac:dyDescent="0.25">
      <c r="A65" s="113"/>
      <c r="B65" s="11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25"/>
      <c r="AB65" s="125"/>
      <c r="AC65" s="131"/>
      <c r="AD65" s="125"/>
      <c r="AE65" s="127"/>
      <c r="AF65" s="127"/>
      <c r="AG65" s="127"/>
      <c r="AH65" s="127"/>
      <c r="AI65" s="123"/>
      <c r="AJ65" s="123"/>
      <c r="AK65" s="123"/>
      <c r="AL65" s="123"/>
      <c r="AM65" s="127"/>
      <c r="AN65" s="127"/>
      <c r="AO65" s="127"/>
      <c r="AP65" s="127"/>
      <c r="AQ65" s="135"/>
      <c r="AR65" s="135"/>
    </row>
    <row r="66" spans="1:44" ht="45.75" customHeight="1" x14ac:dyDescent="0.25">
      <c r="A66" s="109" t="s">
        <v>11</v>
      </c>
      <c r="B66" s="110"/>
      <c r="C66" s="2"/>
      <c r="D66" s="2"/>
      <c r="E66" s="2">
        <v>741.25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6"/>
      <c r="AB66" s="16"/>
      <c r="AC66" s="16">
        <v>5034.4399999999996</v>
      </c>
      <c r="AD66" s="13"/>
      <c r="AE66" s="23">
        <v>354.61</v>
      </c>
      <c r="AF66" s="23"/>
      <c r="AG66" s="23"/>
      <c r="AH66" s="23"/>
      <c r="AI66" s="16"/>
      <c r="AJ66" s="16"/>
      <c r="AK66" s="16"/>
      <c r="AL66" s="16"/>
      <c r="AM66" s="23"/>
      <c r="AN66" s="23"/>
      <c r="AO66" s="23"/>
      <c r="AP66" s="23"/>
      <c r="AQ66" s="17"/>
      <c r="AR66" s="17"/>
    </row>
    <row r="67" spans="1:44" x14ac:dyDescent="0.25">
      <c r="A67" s="109" t="s">
        <v>8</v>
      </c>
      <c r="B67" s="110"/>
      <c r="C67" s="2"/>
      <c r="D67" s="2"/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">
        <v>53091.66</v>
      </c>
      <c r="AB67" s="16"/>
      <c r="AC67" s="16">
        <v>81730</v>
      </c>
      <c r="AD67" s="13"/>
      <c r="AE67" s="23">
        <v>82376</v>
      </c>
      <c r="AF67" s="23"/>
      <c r="AG67" s="23"/>
      <c r="AH67" s="23"/>
      <c r="AI67" s="16">
        <v>28290.47</v>
      </c>
      <c r="AJ67" s="16"/>
      <c r="AK67" s="16"/>
      <c r="AL67" s="16"/>
      <c r="AM67" s="23">
        <v>50510</v>
      </c>
      <c r="AN67" s="23"/>
      <c r="AO67" s="23"/>
      <c r="AP67" s="23"/>
      <c r="AQ67" s="17"/>
      <c r="AR67" s="17"/>
    </row>
    <row r="68" spans="1:44" ht="30" customHeight="1" x14ac:dyDescent="0.25">
      <c r="A68" s="109" t="s">
        <v>9</v>
      </c>
      <c r="B68" s="110"/>
      <c r="C68" s="2"/>
      <c r="D68" s="2"/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31156.65</v>
      </c>
      <c r="AB68" s="16"/>
      <c r="AC68" s="16">
        <v>43318.48</v>
      </c>
      <c r="AD68" s="13"/>
      <c r="AE68" s="23">
        <v>39933.46</v>
      </c>
      <c r="AF68" s="23"/>
      <c r="AG68" s="23"/>
      <c r="AH68" s="23"/>
      <c r="AI68" s="16"/>
      <c r="AJ68" s="16"/>
      <c r="AK68" s="16"/>
      <c r="AL68" s="16"/>
      <c r="AM68" s="23"/>
      <c r="AN68" s="23"/>
      <c r="AO68" s="23"/>
      <c r="AP68" s="23"/>
      <c r="AQ68" s="17"/>
      <c r="AR68" s="17"/>
    </row>
    <row r="69" spans="1:44" x14ac:dyDescent="0.25">
      <c r="A69" s="109" t="s">
        <v>10</v>
      </c>
      <c r="B69" s="1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3"/>
      <c r="AD69" s="13"/>
      <c r="AE69" s="13"/>
      <c r="AF69" s="13"/>
      <c r="AG69" s="13"/>
      <c r="AH69" s="13"/>
      <c r="AI69" s="16">
        <v>17075.21</v>
      </c>
      <c r="AJ69" s="16"/>
      <c r="AK69" s="16"/>
      <c r="AL69" s="16"/>
      <c r="AM69" s="23">
        <v>26730.02</v>
      </c>
      <c r="AN69" s="23"/>
      <c r="AO69" s="23"/>
      <c r="AP69" s="23"/>
      <c r="AQ69" s="17"/>
      <c r="AR69" s="17"/>
    </row>
    <row r="70" spans="1:44" x14ac:dyDescent="0.25">
      <c r="A70" s="109" t="s">
        <v>16</v>
      </c>
      <c r="B70" s="1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t="60" hidden="1" x14ac:dyDescent="0.25">
      <c r="A71" s="7" t="s">
        <v>25</v>
      </c>
      <c r="B71" s="7"/>
      <c r="C71" s="9">
        <v>3090165.46</v>
      </c>
      <c r="D71" s="9">
        <v>3090165.46</v>
      </c>
      <c r="E71" s="9">
        <f>SUM(E72:E74)</f>
        <v>0</v>
      </c>
      <c r="F71" s="9">
        <f>SUM(F72:F74)</f>
        <v>0</v>
      </c>
      <c r="G71" s="9">
        <f t="shared" ref="G71:Z71" si="15">SUM(G72:G74)</f>
        <v>0</v>
      </c>
      <c r="H71" s="9">
        <f t="shared" si="15"/>
        <v>0</v>
      </c>
      <c r="I71" s="9">
        <f t="shared" si="15"/>
        <v>0</v>
      </c>
      <c r="J71" s="9">
        <f t="shared" si="15"/>
        <v>0</v>
      </c>
      <c r="K71" s="9">
        <f t="shared" si="15"/>
        <v>0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t="shared" si="15"/>
        <v>0</v>
      </c>
      <c r="V71" s="9">
        <f t="shared" si="15"/>
        <v>0</v>
      </c>
      <c r="W71" s="9">
        <f t="shared" si="15"/>
        <v>0</v>
      </c>
      <c r="X71" s="9">
        <f t="shared" si="15"/>
        <v>0</v>
      </c>
      <c r="Y71" s="9">
        <f t="shared" si="15"/>
        <v>0</v>
      </c>
      <c r="Z71" s="9">
        <f t="shared" si="15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129">
        <v>0</v>
      </c>
      <c r="AR71" s="129">
        <v>0</v>
      </c>
    </row>
    <row r="72" spans="1:44" hidden="1" x14ac:dyDescent="0.25">
      <c r="A72" s="109" t="s">
        <v>10</v>
      </c>
      <c r="B72" s="132"/>
      <c r="C72" s="2"/>
      <c r="D72" s="2"/>
      <c r="E72" s="2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130"/>
      <c r="AR72" s="130"/>
    </row>
    <row r="73" spans="1:44" hidden="1" x14ac:dyDescent="0.25">
      <c r="A73" s="133" t="s">
        <v>24</v>
      </c>
      <c r="B73" s="132"/>
      <c r="C73" s="9">
        <f>4008760.53+5844431.63+14283.75+179317.37</f>
        <v>10046793.279999999</v>
      </c>
      <c r="D73" s="9">
        <f>989699.04+1910943.77</f>
        <v>2900642.81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32"/>
      <c r="AR73" s="32"/>
    </row>
    <row r="74" spans="1:44" hidden="1" x14ac:dyDescent="0.25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33" t="s">
        <v>12</v>
      </c>
      <c r="B75" s="132"/>
      <c r="C75" s="10">
        <f>C8+C15+C22+C29+C36+C43+C50+C57+C64+C71+C73</f>
        <v>94587677.819999993</v>
      </c>
      <c r="D75" s="10">
        <f>D8+D15+D22+D29+D36+D43+D50+D57+D64+D71+D73</f>
        <v>68008770.719999999</v>
      </c>
      <c r="E75" s="10">
        <f>E8+E15+E22+E29+E36+E43+E50+E57+E64+E71</f>
        <v>85864729.75999999</v>
      </c>
      <c r="F75" s="10">
        <f>F8+F15+F22+F29+F36+F43+F50+F57+F64+F71</f>
        <v>66510808.209999993</v>
      </c>
      <c r="G75" s="10">
        <f t="shared" ref="G75:Y75" si="16">G8+G15+G22+G29+G36+G43+G50+G57+G64+G71</f>
        <v>93511066.090000018</v>
      </c>
      <c r="H75" s="10">
        <f t="shared" si="16"/>
        <v>66963948.660000004</v>
      </c>
      <c r="I75" s="10">
        <f t="shared" si="16"/>
        <v>92440148.88000001</v>
      </c>
      <c r="J75" s="10">
        <f t="shared" si="16"/>
        <v>69371696.100000009</v>
      </c>
      <c r="K75" s="10">
        <f t="shared" si="16"/>
        <v>93692017.959999993</v>
      </c>
      <c r="L75" s="10">
        <f t="shared" si="16"/>
        <v>72494645.030000001</v>
      </c>
      <c r="M75" s="10">
        <f t="shared" si="16"/>
        <v>95350288.340000004</v>
      </c>
      <c r="N75" s="10">
        <f t="shared" si="16"/>
        <v>74699098.340000004</v>
      </c>
      <c r="O75" s="10">
        <f t="shared" si="16"/>
        <v>92952938.269999996</v>
      </c>
      <c r="P75" s="10">
        <f t="shared" si="16"/>
        <v>82357876.220000014</v>
      </c>
      <c r="Q75" s="10">
        <f t="shared" si="16"/>
        <v>97449531.209999979</v>
      </c>
      <c r="R75" s="10">
        <f t="shared" si="16"/>
        <v>74441297.569999993</v>
      </c>
      <c r="S75" s="10">
        <f t="shared" si="16"/>
        <v>96755275.489999995</v>
      </c>
      <c r="T75" s="10">
        <f t="shared" si="16"/>
        <v>74719949.890000001</v>
      </c>
      <c r="U75" s="10">
        <f t="shared" si="16"/>
        <v>97352731.719999984</v>
      </c>
      <c r="V75" s="10">
        <f t="shared" si="16"/>
        <v>74918061.669999987</v>
      </c>
      <c r="W75" s="10">
        <f t="shared" si="16"/>
        <v>103431682.53</v>
      </c>
      <c r="X75" s="10">
        <f t="shared" si="16"/>
        <v>71550048.36999999</v>
      </c>
      <c r="Y75" s="10">
        <f t="shared" si="16"/>
        <v>139512827.16999999</v>
      </c>
      <c r="Z75" s="10">
        <f>Z8+Z15+Z22+Z29+Z36+Z43+Z50+Z57+Z64+Z71</f>
        <v>116277638.82999998</v>
      </c>
      <c r="AA75" s="20">
        <f>AA8+AA15+AA22+AA29+AA36+AA43+AA50+AA57+AA64+AA71</f>
        <v>136792938.08000001</v>
      </c>
      <c r="AB75" s="20">
        <f>AB8+AB15+AB22+AB29+AB36+AB43+AB50+AB57+AB64+AB71</f>
        <v>43344897.469999999</v>
      </c>
      <c r="AC75" s="20">
        <f>AC8+AC15+AC22+AC29+AC36+AC43+AC50+AC57+AC64+AC71</f>
        <v>211086618.58000001</v>
      </c>
      <c r="AD75" s="20">
        <f>AD8+AD15+AD22+AD29+AD36+AD43+AD50+AD57+AD64+AD71</f>
        <v>119975047.31999999</v>
      </c>
      <c r="AE75" s="10">
        <f t="shared" ref="AE75:AL75" si="17">AE8+AE15+AE22+AE29+AE36+AE43+AE57+AE64</f>
        <v>210062888.64999998</v>
      </c>
      <c r="AF75" s="10">
        <f t="shared" si="17"/>
        <v>99495187.609999999</v>
      </c>
      <c r="AG75" s="10">
        <f t="shared" si="17"/>
        <v>86313931.799999982</v>
      </c>
      <c r="AH75" s="10">
        <f t="shared" si="17"/>
        <v>23141374.309999999</v>
      </c>
      <c r="AI75" s="20">
        <f t="shared" si="17"/>
        <v>128946217.90000001</v>
      </c>
      <c r="AJ75" s="20">
        <f t="shared" si="17"/>
        <v>32163242.649999999</v>
      </c>
      <c r="AK75" s="20">
        <f t="shared" si="17"/>
        <v>14429840.109999999</v>
      </c>
      <c r="AL75" s="20">
        <f t="shared" si="17"/>
        <v>0</v>
      </c>
      <c r="AM75" s="47">
        <f>AM8+AM15+AM22+AM29+AM36+AM43+AM57+AM64</f>
        <v>113197529.34000002</v>
      </c>
      <c r="AN75" s="47">
        <f>AN8+AN15+AN22+AN29+AN36+AN43+AN57+AN64</f>
        <v>24780342.010000002</v>
      </c>
      <c r="AO75" s="47">
        <f>AO8+AO15+AO22+AO29+AO36+AO43+AO57+AO64</f>
        <v>11213900.51</v>
      </c>
      <c r="AP75" s="47">
        <f>AP8+AP15+AP22+AP29+AP36+AP43+AP57+AP64</f>
        <v>474477.5</v>
      </c>
      <c r="AQ75" s="35">
        <f>AM75/AI75-1</f>
        <v>-0.12213377651924129</v>
      </c>
      <c r="AR75" s="35">
        <f>AO75/AK75-1</f>
        <v>-0.22286730660108467</v>
      </c>
    </row>
    <row r="76" spans="1:44" ht="45" customHeight="1" x14ac:dyDescent="0.25">
      <c r="A76" s="109" t="s">
        <v>11</v>
      </c>
      <c r="B76" s="132"/>
      <c r="C76" s="2">
        <f t="shared" ref="C76:AD80" si="18">C10+C17+C24+C31+C38+C45+C52+C59+C66</f>
        <v>0</v>
      </c>
      <c r="D76" s="2">
        <f t="shared" si="18"/>
        <v>0</v>
      </c>
      <c r="E76" s="2">
        <f t="shared" si="18"/>
        <v>17953226.410000004</v>
      </c>
      <c r="F76" s="2">
        <f t="shared" si="18"/>
        <v>6382951.8399999943</v>
      </c>
      <c r="G76" s="2">
        <f t="shared" si="18"/>
        <v>19216097.170000002</v>
      </c>
      <c r="H76" s="2">
        <f t="shared" si="18"/>
        <v>6555841.7200000007</v>
      </c>
      <c r="I76" s="2">
        <f t="shared" si="18"/>
        <v>22865503.460000001</v>
      </c>
      <c r="J76" s="2">
        <f t="shared" si="18"/>
        <v>5864947.9199999999</v>
      </c>
      <c r="K76" s="2">
        <f t="shared" si="18"/>
        <v>17090632.079999998</v>
      </c>
      <c r="L76" s="2">
        <f t="shared" si="18"/>
        <v>5837825.0099999998</v>
      </c>
      <c r="M76" s="2">
        <f t="shared" si="18"/>
        <v>16099291.18</v>
      </c>
      <c r="N76" s="2">
        <f t="shared" si="18"/>
        <v>7784857.7199999997</v>
      </c>
      <c r="O76" s="2">
        <f t="shared" si="18"/>
        <v>16094244.300000001</v>
      </c>
      <c r="P76" s="2">
        <f t="shared" si="18"/>
        <v>7902977.2199999997</v>
      </c>
      <c r="Q76" s="2">
        <f t="shared" si="18"/>
        <v>20791692.359999999</v>
      </c>
      <c r="R76" s="2">
        <f t="shared" si="18"/>
        <v>7175180.9199999999</v>
      </c>
      <c r="S76" s="2">
        <f t="shared" si="18"/>
        <v>20070445.379999999</v>
      </c>
      <c r="T76" s="2">
        <f t="shared" si="18"/>
        <v>6987489.4900000002</v>
      </c>
      <c r="U76" s="2">
        <f t="shared" si="18"/>
        <v>24410984.270000003</v>
      </c>
      <c r="V76" s="2">
        <f t="shared" si="18"/>
        <v>4182653.4699999997</v>
      </c>
      <c r="W76" s="2">
        <f t="shared" si="18"/>
        <v>34358661.780000001</v>
      </c>
      <c r="X76" s="2">
        <f t="shared" si="18"/>
        <v>4756662.17</v>
      </c>
      <c r="Y76" s="2">
        <f t="shared" si="18"/>
        <v>37550191.880000003</v>
      </c>
      <c r="Z76" s="2">
        <f t="shared" si="18"/>
        <v>19969076.690000001</v>
      </c>
      <c r="AA76" s="16">
        <f t="shared" si="18"/>
        <v>78679277.219999999</v>
      </c>
      <c r="AB76" s="16">
        <f t="shared" si="18"/>
        <v>28544503.479999997</v>
      </c>
      <c r="AC76" s="16">
        <f t="shared" si="18"/>
        <v>97897786.019999981</v>
      </c>
      <c r="AD76" s="16">
        <f t="shared" si="18"/>
        <v>50095879.390000001</v>
      </c>
      <c r="AE76" s="23">
        <f t="shared" ref="AE76:AP80" si="19">AE10+AE17+AE24+AE31+AE38+AE45+AE59+AE66</f>
        <v>108565286.30999999</v>
      </c>
      <c r="AF76" s="23">
        <f>AF10+AF17+AF24+AF31+AF38+AF45+AF59+AF66</f>
        <v>66674832.540000007</v>
      </c>
      <c r="AG76" s="23">
        <f t="shared" si="19"/>
        <v>32847516.43</v>
      </c>
      <c r="AH76" s="23">
        <f t="shared" si="19"/>
        <v>21260780.43</v>
      </c>
      <c r="AI76" s="16">
        <f t="shared" si="19"/>
        <v>59026929.369999997</v>
      </c>
      <c r="AJ76" s="16">
        <f>AJ10+AJ17+AJ24+AJ31+AJ38+AJ45+AJ59+AJ66</f>
        <v>219982.55</v>
      </c>
      <c r="AK76" s="16">
        <f t="shared" si="19"/>
        <v>3777110.1399999997</v>
      </c>
      <c r="AL76" s="16">
        <f t="shared" si="19"/>
        <v>0</v>
      </c>
      <c r="AM76" s="16">
        <f>AM10+AM17+AM24+AM31+AM38+AM45+AM59+AM66</f>
        <v>56871650.720000021</v>
      </c>
      <c r="AN76" s="16">
        <f>AN10+AN17+AN24+AN31+AN38+AN45+AN59+AN66</f>
        <v>2025460.9600000002</v>
      </c>
      <c r="AO76" s="16">
        <f>AO10+AO17+AO24+AO31+AO38+AO45+AO59+AO66</f>
        <v>5438457.7699999996</v>
      </c>
      <c r="AP76" s="16">
        <f>AP10+AP17+AP24+AP31+AP38+AP45+AP59+AP66</f>
        <v>474477.5</v>
      </c>
      <c r="AQ76" s="36"/>
      <c r="AR76" s="36"/>
    </row>
    <row r="77" spans="1:44" x14ac:dyDescent="0.25">
      <c r="A77" s="109" t="s">
        <v>8</v>
      </c>
      <c r="B77" s="132"/>
      <c r="C77" s="2">
        <f t="shared" si="18"/>
        <v>0</v>
      </c>
      <c r="D77" s="2">
        <f t="shared" si="18"/>
        <v>0</v>
      </c>
      <c r="E77" s="2">
        <f t="shared" si="18"/>
        <v>0</v>
      </c>
      <c r="F77" s="2">
        <f t="shared" si="18"/>
        <v>0</v>
      </c>
      <c r="G77" s="2">
        <f t="shared" si="18"/>
        <v>1611249.67</v>
      </c>
      <c r="H77" s="2">
        <f t="shared" si="18"/>
        <v>0</v>
      </c>
      <c r="I77" s="2">
        <f t="shared" si="18"/>
        <v>1404831.87</v>
      </c>
      <c r="J77" s="2">
        <f t="shared" si="18"/>
        <v>0</v>
      </c>
      <c r="K77" s="2">
        <f t="shared" si="18"/>
        <v>2089553.3599999999</v>
      </c>
      <c r="L77" s="2">
        <f t="shared" si="18"/>
        <v>0</v>
      </c>
      <c r="M77" s="2">
        <f t="shared" si="18"/>
        <v>1291836.76</v>
      </c>
      <c r="N77" s="2">
        <f t="shared" si="18"/>
        <v>0</v>
      </c>
      <c r="O77" s="2">
        <f t="shared" si="18"/>
        <v>1343049.24</v>
      </c>
      <c r="P77" s="2">
        <f t="shared" si="18"/>
        <v>0</v>
      </c>
      <c r="Q77" s="2">
        <f t="shared" si="18"/>
        <v>1452525.99</v>
      </c>
      <c r="R77" s="2">
        <f t="shared" si="18"/>
        <v>0</v>
      </c>
      <c r="S77" s="2">
        <f t="shared" si="18"/>
        <v>1242140.78</v>
      </c>
      <c r="T77" s="2">
        <f t="shared" si="18"/>
        <v>0</v>
      </c>
      <c r="U77" s="2">
        <f t="shared" si="18"/>
        <v>1196585.6499999999</v>
      </c>
      <c r="V77" s="2">
        <f t="shared" si="18"/>
        <v>0</v>
      </c>
      <c r="W77" s="2">
        <f t="shared" si="18"/>
        <v>1283435.7</v>
      </c>
      <c r="X77" s="2">
        <f t="shared" si="18"/>
        <v>0</v>
      </c>
      <c r="Y77" s="2">
        <f t="shared" si="18"/>
        <v>0</v>
      </c>
      <c r="Z77" s="2">
        <f t="shared" si="18"/>
        <v>0</v>
      </c>
      <c r="AA77" s="16">
        <f t="shared" si="18"/>
        <v>28007459.789999999</v>
      </c>
      <c r="AB77" s="16">
        <f t="shared" si="18"/>
        <v>0</v>
      </c>
      <c r="AC77" s="16">
        <f t="shared" si="18"/>
        <v>33425614.419999998</v>
      </c>
      <c r="AD77" s="16">
        <f t="shared" si="18"/>
        <v>0</v>
      </c>
      <c r="AE77" s="23">
        <f t="shared" si="19"/>
        <v>33462185.5</v>
      </c>
      <c r="AF77" s="23">
        <f t="shared" si="19"/>
        <v>18386199.240000002</v>
      </c>
      <c r="AG77" s="23">
        <f t="shared" si="19"/>
        <v>0</v>
      </c>
      <c r="AH77" s="23">
        <f t="shared" si="19"/>
        <v>0</v>
      </c>
      <c r="AI77" s="16">
        <f t="shared" si="19"/>
        <v>36363970.560000002</v>
      </c>
      <c r="AJ77" s="16">
        <f t="shared" si="19"/>
        <v>19065790.949999999</v>
      </c>
      <c r="AK77" s="16">
        <f t="shared" si="19"/>
        <v>0</v>
      </c>
      <c r="AL77" s="16">
        <f t="shared" si="19"/>
        <v>0</v>
      </c>
      <c r="AM77" s="16">
        <f t="shared" si="19"/>
        <v>28910243.909999996</v>
      </c>
      <c r="AN77" s="16">
        <f t="shared" si="19"/>
        <v>13728328.920000002</v>
      </c>
      <c r="AO77" s="16">
        <f t="shared" si="19"/>
        <v>0</v>
      </c>
      <c r="AP77" s="16">
        <f t="shared" si="19"/>
        <v>0</v>
      </c>
      <c r="AQ77" s="37"/>
      <c r="AR77" s="37"/>
    </row>
    <row r="78" spans="1:44" ht="30.75" customHeight="1" x14ac:dyDescent="0.25">
      <c r="A78" s="109" t="s">
        <v>9</v>
      </c>
      <c r="B78" s="132"/>
      <c r="C78" s="2">
        <f t="shared" si="18"/>
        <v>0</v>
      </c>
      <c r="D78" s="2">
        <f t="shared" si="18"/>
        <v>0</v>
      </c>
      <c r="E78" s="2">
        <f t="shared" si="18"/>
        <v>5781112.8999999994</v>
      </c>
      <c r="F78" s="2">
        <f t="shared" si="18"/>
        <v>0</v>
      </c>
      <c r="G78" s="2">
        <f t="shared" si="18"/>
        <v>841993.46</v>
      </c>
      <c r="H78" s="2">
        <f t="shared" si="18"/>
        <v>0</v>
      </c>
      <c r="I78" s="2">
        <f t="shared" si="18"/>
        <v>730672.66</v>
      </c>
      <c r="J78" s="2">
        <f t="shared" si="18"/>
        <v>0</v>
      </c>
      <c r="K78" s="2">
        <f t="shared" si="18"/>
        <v>907890.05999999994</v>
      </c>
      <c r="L78" s="2">
        <f t="shared" si="18"/>
        <v>0</v>
      </c>
      <c r="M78" s="2">
        <f t="shared" si="18"/>
        <v>596611.02</v>
      </c>
      <c r="N78" s="2">
        <f t="shared" si="18"/>
        <v>0</v>
      </c>
      <c r="O78" s="2">
        <f t="shared" si="18"/>
        <v>806056.14</v>
      </c>
      <c r="P78" s="2">
        <f t="shared" si="18"/>
        <v>0</v>
      </c>
      <c r="Q78" s="2">
        <f t="shared" si="18"/>
        <v>910579.46000000008</v>
      </c>
      <c r="R78" s="2">
        <f t="shared" si="18"/>
        <v>0</v>
      </c>
      <c r="S78" s="2">
        <f t="shared" si="18"/>
        <v>832315.84</v>
      </c>
      <c r="T78" s="2">
        <f t="shared" si="18"/>
        <v>0</v>
      </c>
      <c r="U78" s="2">
        <f t="shared" si="18"/>
        <v>786043.03</v>
      </c>
      <c r="V78" s="2">
        <f t="shared" si="18"/>
        <v>0</v>
      </c>
      <c r="W78" s="2">
        <f t="shared" si="18"/>
        <v>782576.37000000011</v>
      </c>
      <c r="X78" s="2">
        <f t="shared" si="18"/>
        <v>0</v>
      </c>
      <c r="Y78" s="2">
        <f t="shared" si="18"/>
        <v>4770499.5100000007</v>
      </c>
      <c r="Z78" s="2">
        <f t="shared" si="18"/>
        <v>0</v>
      </c>
      <c r="AA78" s="16">
        <f t="shared" si="18"/>
        <v>11517101.640000001</v>
      </c>
      <c r="AB78" s="16">
        <f t="shared" si="18"/>
        <v>0</v>
      </c>
      <c r="AC78" s="16">
        <f t="shared" si="18"/>
        <v>17564868.849999998</v>
      </c>
      <c r="AD78" s="16">
        <f t="shared" si="18"/>
        <v>11291466.59</v>
      </c>
      <c r="AE78" s="23">
        <f t="shared" si="19"/>
        <v>25972037.23</v>
      </c>
      <c r="AF78" s="23">
        <f t="shared" si="19"/>
        <v>12978010.970000001</v>
      </c>
      <c r="AG78" s="23">
        <f t="shared" si="19"/>
        <v>14772077.07</v>
      </c>
      <c r="AH78" s="23">
        <f t="shared" si="19"/>
        <v>1220473.1199999999</v>
      </c>
      <c r="AI78" s="16">
        <f t="shared" si="19"/>
        <v>19092310.379999999</v>
      </c>
      <c r="AJ78" s="16">
        <f t="shared" si="19"/>
        <v>9924703.2199999988</v>
      </c>
      <c r="AK78" s="16">
        <f t="shared" si="19"/>
        <v>0</v>
      </c>
      <c r="AL78" s="16">
        <f t="shared" si="19"/>
        <v>0</v>
      </c>
      <c r="AM78" s="16">
        <f t="shared" si="19"/>
        <v>16513407.870000001</v>
      </c>
      <c r="AN78" s="16">
        <f t="shared" si="19"/>
        <v>6170465.8100000005</v>
      </c>
      <c r="AO78" s="16">
        <f t="shared" si="19"/>
        <v>0</v>
      </c>
      <c r="AP78" s="16">
        <f t="shared" si="19"/>
        <v>0</v>
      </c>
      <c r="AQ78" s="37"/>
      <c r="AR78" s="37"/>
    </row>
    <row r="79" spans="1:44" x14ac:dyDescent="0.25">
      <c r="A79" s="109" t="s">
        <v>10</v>
      </c>
      <c r="B79" s="132"/>
      <c r="C79" s="2">
        <f t="shared" ref="C79:Z79" si="20">C13+C20+C27+C34+C41+C48+C55+C62+C69+C72</f>
        <v>0</v>
      </c>
      <c r="D79" s="2">
        <f t="shared" si="20"/>
        <v>0</v>
      </c>
      <c r="E79" s="2">
        <f t="shared" si="20"/>
        <v>60461371.310000002</v>
      </c>
      <c r="F79" s="2">
        <f t="shared" si="20"/>
        <v>58245420.57</v>
      </c>
      <c r="G79" s="2">
        <f t="shared" si="20"/>
        <v>69929562.310000002</v>
      </c>
      <c r="H79" s="2">
        <f t="shared" si="20"/>
        <v>58525671.140000001</v>
      </c>
      <c r="I79" s="2">
        <f t="shared" si="20"/>
        <v>65526882.990000002</v>
      </c>
      <c r="J79" s="2">
        <f t="shared" si="20"/>
        <v>61624312.380000003</v>
      </c>
      <c r="K79" s="2">
        <f t="shared" si="20"/>
        <v>71721506.659999996</v>
      </c>
      <c r="L79" s="2">
        <f t="shared" si="20"/>
        <v>64774384.220000006</v>
      </c>
      <c r="M79" s="2">
        <f t="shared" si="20"/>
        <v>75480113.579999998</v>
      </c>
      <c r="N79" s="2">
        <f t="shared" si="20"/>
        <v>65031804.82</v>
      </c>
      <c r="O79" s="2">
        <f t="shared" si="20"/>
        <v>72791361.200000003</v>
      </c>
      <c r="P79" s="2">
        <f t="shared" si="20"/>
        <v>72572463.200000003</v>
      </c>
      <c r="Q79" s="2">
        <f t="shared" si="20"/>
        <v>72380297.609999999</v>
      </c>
      <c r="R79" s="2">
        <f t="shared" si="20"/>
        <v>65383680.850000001</v>
      </c>
      <c r="S79" s="2">
        <f t="shared" si="20"/>
        <v>72695876.399999991</v>
      </c>
      <c r="T79" s="2">
        <f t="shared" si="20"/>
        <v>65850024.600000001</v>
      </c>
      <c r="U79" s="2">
        <f t="shared" si="20"/>
        <v>69041659.049999997</v>
      </c>
      <c r="V79" s="2">
        <f t="shared" si="20"/>
        <v>68852972.399999991</v>
      </c>
      <c r="W79" s="2">
        <f t="shared" si="20"/>
        <v>65102023.400000006</v>
      </c>
      <c r="X79" s="2">
        <f t="shared" si="20"/>
        <v>64910950.400000006</v>
      </c>
      <c r="Y79" s="2">
        <f t="shared" si="20"/>
        <v>66208215.299999997</v>
      </c>
      <c r="Z79" s="2">
        <f t="shared" si="20"/>
        <v>65394874.099999994</v>
      </c>
      <c r="AA79" s="16">
        <f t="shared" si="18"/>
        <v>14182522.93</v>
      </c>
      <c r="AB79" s="16">
        <f t="shared" si="18"/>
        <v>12430432.640000001</v>
      </c>
      <c r="AC79" s="16">
        <f t="shared" si="18"/>
        <v>21845555.419999998</v>
      </c>
      <c r="AD79" s="16">
        <f t="shared" si="18"/>
        <v>20453326.48</v>
      </c>
      <c r="AE79" s="23">
        <f t="shared" si="19"/>
        <v>8512543.2200000007</v>
      </c>
      <c r="AF79" s="23">
        <f t="shared" si="19"/>
        <v>93556.36</v>
      </c>
      <c r="AG79" s="23">
        <f t="shared" si="19"/>
        <v>7493731.0800000001</v>
      </c>
      <c r="AH79" s="23">
        <f t="shared" si="19"/>
        <v>0</v>
      </c>
      <c r="AI79" s="16">
        <f t="shared" si="19"/>
        <v>6592704.9900000012</v>
      </c>
      <c r="AJ79" s="16">
        <f t="shared" si="19"/>
        <v>92285.57</v>
      </c>
      <c r="AK79" s="16">
        <f t="shared" si="19"/>
        <v>5647572.7300000004</v>
      </c>
      <c r="AL79" s="16">
        <f t="shared" si="19"/>
        <v>0</v>
      </c>
      <c r="AM79" s="16">
        <f t="shared" si="19"/>
        <v>7844728.5999999996</v>
      </c>
      <c r="AN79" s="16">
        <f t="shared" si="19"/>
        <v>198080.53000000003</v>
      </c>
      <c r="AO79" s="16">
        <f t="shared" si="19"/>
        <v>5775442.7400000002</v>
      </c>
      <c r="AP79" s="16">
        <f t="shared" si="19"/>
        <v>0</v>
      </c>
      <c r="AQ79" s="37"/>
      <c r="AR79" s="37"/>
    </row>
    <row r="80" spans="1:44" x14ac:dyDescent="0.25">
      <c r="A80" s="109" t="s">
        <v>16</v>
      </c>
      <c r="B80" s="132"/>
      <c r="C80" s="2">
        <f>C14+C21+C28+C35+C42+C49+C56+C63+C70</f>
        <v>0</v>
      </c>
      <c r="D80" s="2">
        <f>D14+D21+D28+D35+D42+D49+D56+D63+D70</f>
        <v>0</v>
      </c>
      <c r="E80" s="2">
        <f t="shared" si="18"/>
        <v>1669019.14</v>
      </c>
      <c r="F80" s="2">
        <f t="shared" si="18"/>
        <v>1882435.7999999998</v>
      </c>
      <c r="G80" s="2">
        <f t="shared" si="18"/>
        <v>1912163.48</v>
      </c>
      <c r="H80" s="2">
        <f t="shared" si="18"/>
        <v>1882435.8</v>
      </c>
      <c r="I80" s="2">
        <f t="shared" si="18"/>
        <v>1912257.9000000001</v>
      </c>
      <c r="J80" s="2">
        <f t="shared" si="18"/>
        <v>1882435.8</v>
      </c>
      <c r="K80" s="2">
        <f t="shared" si="18"/>
        <v>1882435.8</v>
      </c>
      <c r="L80" s="2">
        <f t="shared" si="18"/>
        <v>1882435.8</v>
      </c>
      <c r="M80" s="2">
        <f t="shared" si="18"/>
        <v>1882435.8</v>
      </c>
      <c r="N80" s="2">
        <f t="shared" si="18"/>
        <v>1882435.8</v>
      </c>
      <c r="O80" s="2">
        <f t="shared" si="18"/>
        <v>1918227.3900000001</v>
      </c>
      <c r="P80" s="2">
        <f t="shared" si="18"/>
        <v>1882435.8</v>
      </c>
      <c r="Q80" s="2">
        <f t="shared" si="18"/>
        <v>1914435.79</v>
      </c>
      <c r="R80" s="2">
        <f t="shared" si="18"/>
        <v>1882435.8</v>
      </c>
      <c r="S80" s="2">
        <f t="shared" si="18"/>
        <v>1914497.09</v>
      </c>
      <c r="T80" s="2">
        <f t="shared" si="18"/>
        <v>1882435.8</v>
      </c>
      <c r="U80" s="2">
        <f t="shared" si="18"/>
        <v>1917459.72</v>
      </c>
      <c r="V80" s="2">
        <f t="shared" si="18"/>
        <v>1882435.8</v>
      </c>
      <c r="W80" s="2">
        <f t="shared" si="18"/>
        <v>1904985.28</v>
      </c>
      <c r="X80" s="2">
        <f t="shared" si="18"/>
        <v>1882435.8</v>
      </c>
      <c r="Y80" s="2">
        <f t="shared" si="18"/>
        <v>30983920.480000004</v>
      </c>
      <c r="Z80" s="2">
        <f t="shared" si="18"/>
        <v>30913688.039999999</v>
      </c>
      <c r="AA80" s="16">
        <f t="shared" si="18"/>
        <v>4406576.5</v>
      </c>
      <c r="AB80" s="16">
        <f t="shared" si="18"/>
        <v>2369961.35</v>
      </c>
      <c r="AC80" s="16">
        <f t="shared" si="18"/>
        <v>40352793.869999997</v>
      </c>
      <c r="AD80" s="16">
        <f t="shared" si="18"/>
        <v>38134374.859999999</v>
      </c>
      <c r="AE80" s="23">
        <f t="shared" si="19"/>
        <v>33550836.390000001</v>
      </c>
      <c r="AF80" s="23">
        <f t="shared" si="19"/>
        <v>1362588.5</v>
      </c>
      <c r="AG80" s="23">
        <f t="shared" si="19"/>
        <v>31200607.219999999</v>
      </c>
      <c r="AH80" s="23">
        <f t="shared" si="19"/>
        <v>660120.76</v>
      </c>
      <c r="AI80" s="16">
        <f t="shared" si="19"/>
        <v>7870302.5999999996</v>
      </c>
      <c r="AJ80" s="16">
        <f t="shared" si="19"/>
        <v>2860480.3600000003</v>
      </c>
      <c r="AK80" s="16">
        <f t="shared" si="19"/>
        <v>5005157.24</v>
      </c>
      <c r="AL80" s="16">
        <f t="shared" si="19"/>
        <v>0</v>
      </c>
      <c r="AM80" s="16">
        <f t="shared" si="19"/>
        <v>3057498.2399999998</v>
      </c>
      <c r="AN80" s="16">
        <f t="shared" si="19"/>
        <v>2658005.79</v>
      </c>
      <c r="AO80" s="16">
        <f t="shared" si="19"/>
        <v>0</v>
      </c>
      <c r="AP80" s="16">
        <f t="shared" si="19"/>
        <v>0</v>
      </c>
      <c r="AQ80" s="37"/>
      <c r="AR80" s="37"/>
    </row>
    <row r="81" spans="1:44" ht="28.5" customHeight="1" x14ac:dyDescent="0.25">
      <c r="A81" s="133" t="s">
        <v>20</v>
      </c>
      <c r="B81" s="132"/>
      <c r="C81" s="3">
        <v>19700824</v>
      </c>
      <c r="D81" s="3"/>
      <c r="E81" s="3">
        <v>30646350</v>
      </c>
      <c r="F81" s="3"/>
      <c r="G81" s="3">
        <v>30646350</v>
      </c>
      <c r="H81" s="3"/>
      <c r="I81" s="3">
        <v>30646350</v>
      </c>
      <c r="J81" s="3"/>
      <c r="K81" s="3">
        <v>30646350</v>
      </c>
      <c r="L81" s="3"/>
      <c r="M81" s="3">
        <v>30646350</v>
      </c>
      <c r="N81" s="3"/>
      <c r="O81" s="3">
        <v>30646350</v>
      </c>
      <c r="P81" s="3"/>
      <c r="Q81" s="3">
        <v>30646350</v>
      </c>
      <c r="R81" s="3"/>
      <c r="S81" s="3">
        <v>39646350</v>
      </c>
      <c r="T81" s="3"/>
      <c r="U81" s="3">
        <v>39646350</v>
      </c>
      <c r="V81" s="3"/>
      <c r="W81" s="3">
        <v>39646350</v>
      </c>
      <c r="X81" s="3"/>
      <c r="Y81" s="3">
        <v>39592849</v>
      </c>
      <c r="Z81" s="3"/>
      <c r="AA81" s="22">
        <v>43884741</v>
      </c>
      <c r="AB81" s="18"/>
      <c r="AC81" s="22">
        <v>38729175</v>
      </c>
      <c r="AD81" s="18"/>
      <c r="AE81" s="3">
        <v>15529000</v>
      </c>
      <c r="AF81" s="18"/>
      <c r="AG81" s="18"/>
      <c r="AH81" s="18"/>
      <c r="AI81" s="22">
        <v>1250000</v>
      </c>
      <c r="AJ81" s="22"/>
      <c r="AK81" s="22"/>
      <c r="AL81" s="22"/>
      <c r="AM81" s="22">
        <v>0</v>
      </c>
      <c r="AN81" s="22"/>
      <c r="AO81" s="22"/>
      <c r="AP81" s="22"/>
      <c r="AQ81" s="37"/>
      <c r="AR81" s="37"/>
    </row>
    <row r="82" spans="1:44" x14ac:dyDescent="0.25">
      <c r="A82" s="133" t="s">
        <v>21</v>
      </c>
      <c r="B82" s="132"/>
      <c r="C82" s="3">
        <f t="shared" ref="C82:AA82" si="21">C75+C81</f>
        <v>114288501.81999999</v>
      </c>
      <c r="D82" s="3">
        <f t="shared" si="21"/>
        <v>68008770.719999999</v>
      </c>
      <c r="E82" s="3">
        <f t="shared" si="21"/>
        <v>116511079.75999999</v>
      </c>
      <c r="F82" s="3">
        <f t="shared" si="21"/>
        <v>66510808.209999993</v>
      </c>
      <c r="G82" s="3">
        <f t="shared" si="21"/>
        <v>124157416.09000002</v>
      </c>
      <c r="H82" s="3">
        <f t="shared" si="21"/>
        <v>66963948.660000004</v>
      </c>
      <c r="I82" s="3">
        <f t="shared" si="21"/>
        <v>123086498.88000001</v>
      </c>
      <c r="J82" s="3">
        <f t="shared" si="21"/>
        <v>69371696.100000009</v>
      </c>
      <c r="K82" s="3">
        <f t="shared" si="21"/>
        <v>124338367.95999999</v>
      </c>
      <c r="L82" s="3">
        <f t="shared" si="21"/>
        <v>72494645.030000001</v>
      </c>
      <c r="M82" s="3">
        <f t="shared" si="21"/>
        <v>125996638.34</v>
      </c>
      <c r="N82" s="3">
        <f t="shared" si="21"/>
        <v>74699098.340000004</v>
      </c>
      <c r="O82" s="3">
        <f t="shared" si="21"/>
        <v>123599288.27</v>
      </c>
      <c r="P82" s="3">
        <f t="shared" si="21"/>
        <v>82357876.220000014</v>
      </c>
      <c r="Q82" s="3">
        <f t="shared" si="21"/>
        <v>128095881.20999998</v>
      </c>
      <c r="R82" s="3">
        <f t="shared" si="21"/>
        <v>74441297.569999993</v>
      </c>
      <c r="S82" s="3">
        <f t="shared" si="21"/>
        <v>136401625.49000001</v>
      </c>
      <c r="T82" s="3">
        <f t="shared" si="21"/>
        <v>74719949.890000001</v>
      </c>
      <c r="U82" s="3">
        <f t="shared" si="21"/>
        <v>136999081.71999997</v>
      </c>
      <c r="V82" s="3">
        <f t="shared" si="21"/>
        <v>74918061.669999987</v>
      </c>
      <c r="W82" s="3">
        <f t="shared" si="21"/>
        <v>143078032.53</v>
      </c>
      <c r="X82" s="3">
        <f t="shared" si="21"/>
        <v>71550048.36999999</v>
      </c>
      <c r="Y82" s="3">
        <f t="shared" si="21"/>
        <v>179105676.16999999</v>
      </c>
      <c r="Z82" s="3">
        <f t="shared" si="21"/>
        <v>116277638.82999998</v>
      </c>
      <c r="AA82" s="22">
        <f t="shared" si="21"/>
        <v>180677679.08000001</v>
      </c>
      <c r="AB82" s="22">
        <f>AB75+AB81</f>
        <v>43344897.469999999</v>
      </c>
      <c r="AC82" s="22">
        <f t="shared" ref="AC82:AP82" si="22">AC75+AC81</f>
        <v>249815793.58000001</v>
      </c>
      <c r="AD82" s="22">
        <f t="shared" si="22"/>
        <v>119975047.31999999</v>
      </c>
      <c r="AE82" s="3">
        <f t="shared" si="22"/>
        <v>225591888.64999998</v>
      </c>
      <c r="AF82" s="3">
        <f t="shared" si="22"/>
        <v>99495187.609999999</v>
      </c>
      <c r="AG82" s="3">
        <f t="shared" si="22"/>
        <v>86313931.799999982</v>
      </c>
      <c r="AH82" s="3">
        <f t="shared" si="22"/>
        <v>23141374.309999999</v>
      </c>
      <c r="AI82" s="22">
        <f t="shared" si="22"/>
        <v>130196217.90000001</v>
      </c>
      <c r="AJ82" s="22">
        <f t="shared" si="22"/>
        <v>32163242.649999999</v>
      </c>
      <c r="AK82" s="22">
        <f t="shared" si="22"/>
        <v>14429840.109999999</v>
      </c>
      <c r="AL82" s="22">
        <f t="shared" si="22"/>
        <v>0</v>
      </c>
      <c r="AM82" s="22">
        <f t="shared" si="22"/>
        <v>113197529.34000002</v>
      </c>
      <c r="AN82" s="22">
        <f t="shared" si="22"/>
        <v>24780342.010000002</v>
      </c>
      <c r="AO82" s="22">
        <f t="shared" si="22"/>
        <v>11213900.51</v>
      </c>
      <c r="AP82" s="22">
        <f t="shared" si="22"/>
        <v>474477.5</v>
      </c>
      <c r="AQ82" s="36">
        <f>AM82/AI82-1</f>
        <v>-0.13056207648870566</v>
      </c>
      <c r="AR82" s="36">
        <f>AO82/AK82-1</f>
        <v>-0.22286730660108467</v>
      </c>
    </row>
    <row r="83" spans="1:44" x14ac:dyDescent="0.25">
      <c r="A83" s="109" t="s">
        <v>22</v>
      </c>
      <c r="B83" s="13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1:44" x14ac:dyDescent="0.25">
      <c r="A84" s="109" t="s">
        <v>27</v>
      </c>
      <c r="B84" s="132"/>
      <c r="C84" s="4">
        <v>102575991</v>
      </c>
      <c r="D84" s="4">
        <v>63430848.460000001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x14ac:dyDescent="0.25">
      <c r="A85" s="109" t="s">
        <v>26</v>
      </c>
      <c r="B85" s="132"/>
      <c r="C85" s="4">
        <f>C82-C84</f>
        <v>11712510.819999993</v>
      </c>
      <c r="D85" s="4">
        <f>D82-D84</f>
        <v>4577922.2599999979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x14ac:dyDescent="0.25">
      <c r="A86" s="109" t="s">
        <v>40</v>
      </c>
      <c r="B86" s="13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1">
        <v>2369961.35</v>
      </c>
      <c r="AB86" s="21">
        <v>2369961.35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</sheetData>
  <mergeCells count="452"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Q71:AQ72"/>
    <mergeCell ref="AR71:AR72"/>
    <mergeCell ref="A72:B72"/>
    <mergeCell ref="A73:B73"/>
    <mergeCell ref="AP64:AP65"/>
    <mergeCell ref="AQ64:AQ65"/>
    <mergeCell ref="AR64:AR65"/>
    <mergeCell ref="A66:B66"/>
    <mergeCell ref="A67:B67"/>
    <mergeCell ref="A68:B68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F64:F65"/>
    <mergeCell ref="G64:G65"/>
    <mergeCell ref="H64:H65"/>
    <mergeCell ref="I64:I65"/>
    <mergeCell ref="J64:J65"/>
    <mergeCell ref="K64:K65"/>
    <mergeCell ref="A62:B62"/>
    <mergeCell ref="A63:B63"/>
    <mergeCell ref="A64:B65"/>
    <mergeCell ref="C64:C65"/>
    <mergeCell ref="D64:D65"/>
    <mergeCell ref="E64:E65"/>
    <mergeCell ref="AP57:AP58"/>
    <mergeCell ref="AQ57:AQ58"/>
    <mergeCell ref="AR57:AR58"/>
    <mergeCell ref="A59:B59"/>
    <mergeCell ref="A60:B60"/>
    <mergeCell ref="A61:B61"/>
    <mergeCell ref="AJ57:AJ58"/>
    <mergeCell ref="AK57:AK58"/>
    <mergeCell ref="AL57:AL58"/>
    <mergeCell ref="AM57:AM58"/>
    <mergeCell ref="AN57:AN58"/>
    <mergeCell ref="AO57:AO58"/>
    <mergeCell ref="AD57:AD58"/>
    <mergeCell ref="AE57:AE58"/>
    <mergeCell ref="AF57:AF58"/>
    <mergeCell ref="AG57:AG58"/>
    <mergeCell ref="AH57:AH58"/>
    <mergeCell ref="AI57:AI58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A55:B55"/>
    <mergeCell ref="A56:B56"/>
    <mergeCell ref="A57:B58"/>
    <mergeCell ref="C57:C58"/>
    <mergeCell ref="D57:D58"/>
    <mergeCell ref="E57:E58"/>
    <mergeCell ref="Z50:Z51"/>
    <mergeCell ref="AQ50:AQ51"/>
    <mergeCell ref="AR50:AR51"/>
    <mergeCell ref="A52:B52"/>
    <mergeCell ref="A53:B53"/>
    <mergeCell ref="A54:B54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50:B51"/>
    <mergeCell ref="C50:C51"/>
    <mergeCell ref="D50:D51"/>
    <mergeCell ref="E50:E51"/>
    <mergeCell ref="F50:F51"/>
    <mergeCell ref="G50:G51"/>
    <mergeCell ref="AR43:AR44"/>
    <mergeCell ref="A45:B45"/>
    <mergeCell ref="A46:B46"/>
    <mergeCell ref="A47:B47"/>
    <mergeCell ref="A48:B48"/>
    <mergeCell ref="A49:B49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43:B44"/>
    <mergeCell ref="C43:C44"/>
    <mergeCell ref="D43:D44"/>
    <mergeCell ref="E43:E44"/>
    <mergeCell ref="F43:F44"/>
    <mergeCell ref="G43:G44"/>
    <mergeCell ref="AR36:AR37"/>
    <mergeCell ref="A38:B38"/>
    <mergeCell ref="A39:B39"/>
    <mergeCell ref="A40:B40"/>
    <mergeCell ref="A41:B41"/>
    <mergeCell ref="A42:B42"/>
    <mergeCell ref="AL36:AL37"/>
    <mergeCell ref="AM36:AM37"/>
    <mergeCell ref="AN36:AN37"/>
    <mergeCell ref="AO36:AO37"/>
    <mergeCell ref="AP36:AP37"/>
    <mergeCell ref="AQ36:AQ37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B37"/>
    <mergeCell ref="C36:C37"/>
    <mergeCell ref="D36:D37"/>
    <mergeCell ref="E36:E37"/>
    <mergeCell ref="F36:F37"/>
    <mergeCell ref="G36:G37"/>
    <mergeCell ref="AR29:AR30"/>
    <mergeCell ref="A31:B31"/>
    <mergeCell ref="A32:B32"/>
    <mergeCell ref="A33:B33"/>
    <mergeCell ref="A34:B34"/>
    <mergeCell ref="A35:B35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AR22:AR23"/>
    <mergeCell ref="A24:B24"/>
    <mergeCell ref="A25:B25"/>
    <mergeCell ref="A26:B26"/>
    <mergeCell ref="A27:B27"/>
    <mergeCell ref="A28:B28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B23"/>
    <mergeCell ref="C22:C23"/>
    <mergeCell ref="D22:D23"/>
    <mergeCell ref="E22:E23"/>
    <mergeCell ref="F22:F23"/>
    <mergeCell ref="G22:G23"/>
    <mergeCell ref="AR15:AR16"/>
    <mergeCell ref="A17:B17"/>
    <mergeCell ref="A18:B18"/>
    <mergeCell ref="A19:B19"/>
    <mergeCell ref="A20:B20"/>
    <mergeCell ref="A21:B21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15:B16"/>
    <mergeCell ref="C15:C16"/>
    <mergeCell ref="D15:D16"/>
    <mergeCell ref="E15:E16"/>
    <mergeCell ref="F15:F16"/>
    <mergeCell ref="G15:G16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Y8:Y9"/>
    <mergeCell ref="N8:N9"/>
    <mergeCell ref="O8:O9"/>
    <mergeCell ref="W8:W9"/>
    <mergeCell ref="X8:X9"/>
    <mergeCell ref="P8:P9"/>
    <mergeCell ref="Q8:Q9"/>
    <mergeCell ref="R8:R9"/>
    <mergeCell ref="S8:S9"/>
    <mergeCell ref="AR8:AR9"/>
    <mergeCell ref="A10:B10"/>
    <mergeCell ref="AQ8:AQ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R6"/>
    <mergeCell ref="Y5:Z6"/>
    <mergeCell ref="AA5:AB6"/>
    <mergeCell ref="AC5:AD6"/>
    <mergeCell ref="AE5:AH6"/>
    <mergeCell ref="AI5:AL6"/>
    <mergeCell ref="AM5:AP6"/>
    <mergeCell ref="S5:T6"/>
    <mergeCell ref="U5:V6"/>
    <mergeCell ref="W5:X6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114"/>
  <sheetViews>
    <sheetView workbookViewId="0">
      <selection activeCell="AI15" sqref="AI15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38" width="14" customWidth="1"/>
    <col min="39" max="39" width="16" customWidth="1"/>
    <col min="40" max="42" width="14" customWidth="1"/>
    <col min="44" max="44" width="9.42578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43678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4950421.67</v>
      </c>
      <c r="AN8" s="120">
        <f>AN10+AN11+AN12+AN13+AN14</f>
        <v>120392.48</v>
      </c>
      <c r="AO8" s="120">
        <v>0</v>
      </c>
      <c r="AP8" s="120">
        <v>0</v>
      </c>
      <c r="AQ8" s="116">
        <f>AM8/AI8-1</f>
        <v>-0.88306205634183699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45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v>2326929.41</v>
      </c>
      <c r="AN10" s="19">
        <v>6631.19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v>1578254.07</v>
      </c>
      <c r="AN11" s="19">
        <v>65062.34</v>
      </c>
      <c r="AO11" s="19"/>
      <c r="AP11" s="19"/>
      <c r="AQ11" s="34"/>
      <c r="AR11" s="34"/>
    </row>
    <row r="12" spans="1:44" ht="30" customHeight="1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v>1045238.19</v>
      </c>
      <c r="AN13" s="19">
        <v>48698.95</v>
      </c>
      <c r="AO13" s="19"/>
      <c r="AP13" s="19"/>
      <c r="AQ13" s="34"/>
      <c r="AR13" s="34"/>
    </row>
    <row r="14" spans="1:44" ht="30" customHeight="1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36" t="s">
        <v>48</v>
      </c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1"/>
      <c r="AD15" s="51"/>
      <c r="AE15" s="50"/>
      <c r="AF15" s="50"/>
      <c r="AG15" s="50"/>
      <c r="AH15" s="50"/>
      <c r="AI15" s="51"/>
      <c r="AJ15" s="51"/>
      <c r="AK15" s="51"/>
      <c r="AL15" s="51"/>
      <c r="AM15" s="53">
        <f>AM16+AM17+AM18+AM19+AM20</f>
        <v>46640692.810000002</v>
      </c>
      <c r="AN15" s="53">
        <f>AN16+AN17+AN18+AN19+AN20</f>
        <v>11923898.02</v>
      </c>
      <c r="AO15" s="53">
        <f t="shared" ref="AO15:AP15" si="1">AO16+AO17+AO18+AO19+AO20</f>
        <v>0</v>
      </c>
      <c r="AP15" s="53">
        <f t="shared" si="1"/>
        <v>0</v>
      </c>
      <c r="AQ15" s="55"/>
      <c r="AR15" s="55"/>
    </row>
    <row r="16" spans="1:44" ht="47.25" customHeight="1" x14ac:dyDescent="0.25">
      <c r="A16" s="109" t="s">
        <v>11</v>
      </c>
      <c r="B16" s="11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1"/>
      <c r="AD16" s="51"/>
      <c r="AE16" s="50"/>
      <c r="AF16" s="50"/>
      <c r="AG16" s="50"/>
      <c r="AH16" s="50"/>
      <c r="AI16" s="51"/>
      <c r="AJ16" s="51"/>
      <c r="AK16" s="51"/>
      <c r="AL16" s="51"/>
      <c r="AM16" s="51">
        <f>43925421.95+405510.37</f>
        <v>44330932.32</v>
      </c>
      <c r="AN16" s="51">
        <v>11923898.02</v>
      </c>
      <c r="AO16" s="51"/>
      <c r="AP16" s="51"/>
      <c r="AQ16" s="55"/>
      <c r="AR16" s="55"/>
    </row>
    <row r="17" spans="1:44" ht="17.25" customHeight="1" x14ac:dyDescent="0.25">
      <c r="A17" s="109" t="s">
        <v>8</v>
      </c>
      <c r="B17" s="11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1"/>
      <c r="AD17" s="51"/>
      <c r="AE17" s="50"/>
      <c r="AF17" s="50"/>
      <c r="AG17" s="50"/>
      <c r="AH17" s="50"/>
      <c r="AI17" s="51"/>
      <c r="AJ17" s="51"/>
      <c r="AK17" s="51"/>
      <c r="AL17" s="51"/>
      <c r="AM17" s="51">
        <v>1791664.89</v>
      </c>
      <c r="AN17" s="51"/>
      <c r="AO17" s="51"/>
      <c r="AP17" s="51"/>
      <c r="AQ17" s="55"/>
      <c r="AR17" s="55"/>
    </row>
    <row r="18" spans="1:44" ht="30.75" customHeight="1" x14ac:dyDescent="0.25">
      <c r="A18" s="109" t="s">
        <v>9</v>
      </c>
      <c r="B18" s="11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1"/>
      <c r="AD18" s="51"/>
      <c r="AE18" s="50"/>
      <c r="AF18" s="50"/>
      <c r="AG18" s="50"/>
      <c r="AH18" s="50"/>
      <c r="AI18" s="51"/>
      <c r="AJ18" s="51"/>
      <c r="AK18" s="51"/>
      <c r="AL18" s="51"/>
      <c r="AM18" s="51"/>
      <c r="AN18" s="51"/>
      <c r="AO18" s="51"/>
      <c r="AP18" s="51"/>
      <c r="AQ18" s="55"/>
      <c r="AR18" s="55"/>
    </row>
    <row r="19" spans="1:44" x14ac:dyDescent="0.25">
      <c r="A19" s="109" t="s">
        <v>10</v>
      </c>
      <c r="B19" s="11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1"/>
      <c r="AD19" s="51"/>
      <c r="AE19" s="50"/>
      <c r="AF19" s="50"/>
      <c r="AG19" s="50"/>
      <c r="AH19" s="50"/>
      <c r="AI19" s="51"/>
      <c r="AJ19" s="51"/>
      <c r="AK19" s="51"/>
      <c r="AL19" s="51"/>
      <c r="AM19" s="51">
        <v>518095.6</v>
      </c>
      <c r="AN19" s="51"/>
      <c r="AO19" s="51"/>
      <c r="AP19" s="51"/>
      <c r="AQ19" s="55"/>
      <c r="AR19" s="55"/>
    </row>
    <row r="20" spans="1:44" ht="30" customHeight="1" x14ac:dyDescent="0.25">
      <c r="A20" s="109" t="s">
        <v>16</v>
      </c>
      <c r="B20" s="1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1"/>
      <c r="AD20" s="51"/>
      <c r="AE20" s="50"/>
      <c r="AF20" s="50"/>
      <c r="AG20" s="50"/>
      <c r="AH20" s="50"/>
      <c r="AI20" s="51"/>
      <c r="AJ20" s="51"/>
      <c r="AK20" s="51"/>
      <c r="AL20" s="51"/>
      <c r="AM20" s="51"/>
      <c r="AN20" s="51"/>
      <c r="AO20" s="51"/>
      <c r="AP20" s="51"/>
      <c r="AQ20" s="55"/>
      <c r="AR20" s="55"/>
    </row>
    <row r="21" spans="1:44" x14ac:dyDescent="0.25">
      <c r="A21" s="136" t="s">
        <v>49</v>
      </c>
      <c r="B21" s="13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1"/>
      <c r="AD21" s="51"/>
      <c r="AE21" s="50"/>
      <c r="AF21" s="50"/>
      <c r="AG21" s="50"/>
      <c r="AH21" s="50"/>
      <c r="AI21" s="51"/>
      <c r="AJ21" s="51"/>
      <c r="AK21" s="51"/>
      <c r="AL21" s="51"/>
      <c r="AM21" s="53">
        <f>AM22+AM23+AM24+AM25+AM26</f>
        <v>3696735.7299999995</v>
      </c>
      <c r="AN21" s="53">
        <f t="shared" ref="AN21:AP21" si="2">AN22+AN23+AN24+AN25+AN26</f>
        <v>0</v>
      </c>
      <c r="AO21" s="53">
        <f t="shared" si="2"/>
        <v>0</v>
      </c>
      <c r="AP21" s="53">
        <f t="shared" si="2"/>
        <v>0</v>
      </c>
      <c r="AQ21" s="55"/>
      <c r="AR21" s="55"/>
    </row>
    <row r="22" spans="1:44" ht="45" customHeight="1" x14ac:dyDescent="0.25">
      <c r="A22" s="109" t="s">
        <v>11</v>
      </c>
      <c r="B22" s="11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1"/>
      <c r="AD22" s="51"/>
      <c r="AE22" s="50"/>
      <c r="AF22" s="50"/>
      <c r="AG22" s="50"/>
      <c r="AH22" s="50"/>
      <c r="AI22" s="51"/>
      <c r="AJ22" s="51"/>
      <c r="AK22" s="51"/>
      <c r="AL22" s="51"/>
      <c r="AM22" s="51">
        <f>3093486.3+86130.13</f>
        <v>3179616.4299999997</v>
      </c>
      <c r="AN22" s="51"/>
      <c r="AO22" s="51"/>
      <c r="AP22" s="51"/>
      <c r="AQ22" s="55"/>
      <c r="AR22" s="55"/>
    </row>
    <row r="23" spans="1:44" x14ac:dyDescent="0.25">
      <c r="A23" s="109" t="s">
        <v>8</v>
      </c>
      <c r="B23" s="11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1"/>
      <c r="AD23" s="51"/>
      <c r="AE23" s="50"/>
      <c r="AF23" s="50"/>
      <c r="AG23" s="50"/>
      <c r="AH23" s="50"/>
      <c r="AI23" s="51"/>
      <c r="AJ23" s="51"/>
      <c r="AK23" s="51"/>
      <c r="AL23" s="51"/>
      <c r="AM23" s="51">
        <v>353227.84</v>
      </c>
      <c r="AN23" s="51"/>
      <c r="AO23" s="51"/>
      <c r="AP23" s="51"/>
      <c r="AQ23" s="55"/>
      <c r="AR23" s="55"/>
    </row>
    <row r="24" spans="1:44" ht="30" customHeight="1" x14ac:dyDescent="0.25">
      <c r="A24" s="109" t="s">
        <v>9</v>
      </c>
      <c r="B24" s="11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1"/>
      <c r="AD24" s="51"/>
      <c r="AE24" s="50"/>
      <c r="AF24" s="50"/>
      <c r="AG24" s="50"/>
      <c r="AH24" s="50"/>
      <c r="AI24" s="51"/>
      <c r="AJ24" s="51"/>
      <c r="AK24" s="51"/>
      <c r="AL24" s="51"/>
      <c r="AM24" s="51"/>
      <c r="AN24" s="51"/>
      <c r="AO24" s="51"/>
      <c r="AP24" s="51"/>
      <c r="AQ24" s="55"/>
      <c r="AR24" s="55"/>
    </row>
    <row r="25" spans="1:44" x14ac:dyDescent="0.25">
      <c r="A25" s="109" t="s">
        <v>10</v>
      </c>
      <c r="B25" s="1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1"/>
      <c r="AD25" s="51"/>
      <c r="AE25" s="50"/>
      <c r="AF25" s="50"/>
      <c r="AG25" s="50"/>
      <c r="AH25" s="50"/>
      <c r="AI25" s="51"/>
      <c r="AJ25" s="51"/>
      <c r="AK25" s="51"/>
      <c r="AL25" s="51"/>
      <c r="AM25" s="51">
        <v>163891.46</v>
      </c>
      <c r="AN25" s="51"/>
      <c r="AO25" s="51"/>
      <c r="AP25" s="51"/>
      <c r="AQ25" s="55"/>
      <c r="AR25" s="55"/>
    </row>
    <row r="26" spans="1:44" ht="30.75" customHeight="1" x14ac:dyDescent="0.25">
      <c r="A26" s="109" t="s">
        <v>16</v>
      </c>
      <c r="B26" s="1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1"/>
      <c r="AD26" s="51"/>
      <c r="AE26" s="50"/>
      <c r="AF26" s="50"/>
      <c r="AG26" s="50"/>
      <c r="AH26" s="50"/>
      <c r="AI26" s="51"/>
      <c r="AJ26" s="51"/>
      <c r="AK26" s="51"/>
      <c r="AL26" s="51"/>
      <c r="AM26" s="51"/>
      <c r="AN26" s="51"/>
      <c r="AO26" s="51"/>
      <c r="AP26" s="51"/>
      <c r="AQ26" s="55"/>
      <c r="AR26" s="55"/>
    </row>
    <row r="27" spans="1:44" x14ac:dyDescent="0.25">
      <c r="A27" s="136" t="s">
        <v>50</v>
      </c>
      <c r="B27" s="1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1"/>
      <c r="AD27" s="51"/>
      <c r="AE27" s="50"/>
      <c r="AF27" s="50"/>
      <c r="AG27" s="50"/>
      <c r="AH27" s="50"/>
      <c r="AI27" s="51"/>
      <c r="AJ27" s="51"/>
      <c r="AK27" s="51"/>
      <c r="AL27" s="51"/>
      <c r="AM27" s="53">
        <f>AM28+AM29+AM30+AM31+AM32</f>
        <v>346593.83999999997</v>
      </c>
      <c r="AN27" s="53">
        <f t="shared" ref="AN27:AP27" si="3">AN28+AN29+AN30+AN31+AN32</f>
        <v>0</v>
      </c>
      <c r="AO27" s="53">
        <f t="shared" si="3"/>
        <v>0</v>
      </c>
      <c r="AP27" s="53">
        <f t="shared" si="3"/>
        <v>0</v>
      </c>
      <c r="AQ27" s="55"/>
      <c r="AR27" s="55"/>
    </row>
    <row r="28" spans="1:44" ht="30" customHeight="1" x14ac:dyDescent="0.25">
      <c r="A28" s="109" t="s">
        <v>11</v>
      </c>
      <c r="B28" s="1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1"/>
      <c r="AD28" s="51"/>
      <c r="AE28" s="50"/>
      <c r="AF28" s="50"/>
      <c r="AG28" s="50"/>
      <c r="AH28" s="50"/>
      <c r="AI28" s="51"/>
      <c r="AJ28" s="51"/>
      <c r="AK28" s="51"/>
      <c r="AL28" s="51"/>
      <c r="AM28" s="51">
        <v>40715</v>
      </c>
      <c r="AN28" s="51"/>
      <c r="AO28" s="51"/>
      <c r="AP28" s="51"/>
      <c r="AQ28" s="55"/>
      <c r="AR28" s="55"/>
    </row>
    <row r="29" spans="1:44" x14ac:dyDescent="0.25">
      <c r="A29" s="109" t="s">
        <v>8</v>
      </c>
      <c r="B29" s="1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1"/>
      <c r="AD29" s="51"/>
      <c r="AE29" s="50"/>
      <c r="AF29" s="50"/>
      <c r="AG29" s="50"/>
      <c r="AH29" s="50"/>
      <c r="AI29" s="51"/>
      <c r="AJ29" s="51"/>
      <c r="AK29" s="51"/>
      <c r="AL29" s="51"/>
      <c r="AM29" s="51">
        <v>206088.72</v>
      </c>
      <c r="AN29" s="51"/>
      <c r="AO29" s="51"/>
      <c r="AP29" s="51"/>
      <c r="AQ29" s="55"/>
      <c r="AR29" s="55"/>
    </row>
    <row r="30" spans="1:44" ht="30" customHeight="1" x14ac:dyDescent="0.25">
      <c r="A30" s="109" t="s">
        <v>9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1"/>
      <c r="AD30" s="51"/>
      <c r="AE30" s="50"/>
      <c r="AF30" s="50"/>
      <c r="AG30" s="50"/>
      <c r="AH30" s="50"/>
      <c r="AI30" s="51"/>
      <c r="AJ30" s="51"/>
      <c r="AK30" s="51"/>
      <c r="AL30" s="51"/>
      <c r="AM30" s="51"/>
      <c r="AN30" s="51"/>
      <c r="AO30" s="51"/>
      <c r="AP30" s="51"/>
      <c r="AQ30" s="55"/>
      <c r="AR30" s="55"/>
    </row>
    <row r="31" spans="1:44" x14ac:dyDescent="0.25">
      <c r="A31" s="109" t="s">
        <v>10</v>
      </c>
      <c r="B31" s="110"/>
      <c r="C31" s="52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1"/>
      <c r="AD31" s="51"/>
      <c r="AE31" s="50"/>
      <c r="AF31" s="50"/>
      <c r="AG31" s="50"/>
      <c r="AH31" s="50"/>
      <c r="AI31" s="51"/>
      <c r="AJ31" s="51"/>
      <c r="AK31" s="51"/>
      <c r="AL31" s="51"/>
      <c r="AM31" s="51">
        <v>99790.12</v>
      </c>
      <c r="AN31" s="51"/>
      <c r="AO31" s="51"/>
      <c r="AP31" s="51"/>
      <c r="AQ31" s="55"/>
      <c r="AR31" s="55"/>
    </row>
    <row r="32" spans="1:44" ht="33.75" customHeight="1" x14ac:dyDescent="0.25">
      <c r="A32" s="109" t="s">
        <v>16</v>
      </c>
      <c r="B32" s="11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1"/>
      <c r="AD32" s="51"/>
      <c r="AE32" s="50"/>
      <c r="AF32" s="50"/>
      <c r="AG32" s="50"/>
      <c r="AH32" s="50"/>
      <c r="AI32" s="51"/>
      <c r="AJ32" s="51"/>
      <c r="AK32" s="51"/>
      <c r="AL32" s="51"/>
      <c r="AM32" s="51"/>
      <c r="AN32" s="51"/>
      <c r="AO32" s="51"/>
      <c r="AP32" s="51"/>
      <c r="AQ32" s="55"/>
      <c r="AR32" s="55"/>
    </row>
    <row r="33" spans="1:47" x14ac:dyDescent="0.25">
      <c r="A33" s="111" t="s">
        <v>1</v>
      </c>
      <c r="B33" s="112"/>
      <c r="C33" s="115">
        <f>SUM(C35:C39)</f>
        <v>0</v>
      </c>
      <c r="D33" s="115">
        <f>SUM(D35:D39)</f>
        <v>0</v>
      </c>
      <c r="E33" s="115">
        <f t="shared" ref="E33:AD33" si="4">SUM(E35:E39)</f>
        <v>35747.5</v>
      </c>
      <c r="F33" s="115">
        <f t="shared" si="4"/>
        <v>0</v>
      </c>
      <c r="G33" s="115">
        <f t="shared" si="4"/>
        <v>0</v>
      </c>
      <c r="H33" s="115">
        <f t="shared" si="4"/>
        <v>0</v>
      </c>
      <c r="I33" s="115">
        <f t="shared" si="4"/>
        <v>0</v>
      </c>
      <c r="J33" s="115">
        <f t="shared" si="4"/>
        <v>0</v>
      </c>
      <c r="K33" s="115">
        <f t="shared" si="4"/>
        <v>120756.41</v>
      </c>
      <c r="L33" s="115">
        <f t="shared" si="4"/>
        <v>0</v>
      </c>
      <c r="M33" s="115">
        <f t="shared" si="4"/>
        <v>144077.24</v>
      </c>
      <c r="N33" s="115">
        <f t="shared" si="4"/>
        <v>0</v>
      </c>
      <c r="O33" s="115">
        <f t="shared" si="4"/>
        <v>122267.09</v>
      </c>
      <c r="P33" s="115">
        <f t="shared" si="4"/>
        <v>0</v>
      </c>
      <c r="Q33" s="115">
        <f t="shared" si="4"/>
        <v>81760.240000000005</v>
      </c>
      <c r="R33" s="115">
        <f t="shared" si="4"/>
        <v>0</v>
      </c>
      <c r="S33" s="115">
        <f t="shared" si="4"/>
        <v>68067.33</v>
      </c>
      <c r="T33" s="115">
        <f t="shared" si="4"/>
        <v>0</v>
      </c>
      <c r="U33" s="115">
        <f t="shared" si="4"/>
        <v>61711.68</v>
      </c>
      <c r="V33" s="115">
        <f t="shared" si="4"/>
        <v>0</v>
      </c>
      <c r="W33" s="115">
        <f t="shared" si="4"/>
        <v>0</v>
      </c>
      <c r="X33" s="115">
        <f t="shared" si="4"/>
        <v>0</v>
      </c>
      <c r="Y33" s="115">
        <f t="shared" si="4"/>
        <v>217.78</v>
      </c>
      <c r="Z33" s="115">
        <f t="shared" si="4"/>
        <v>0</v>
      </c>
      <c r="AA33" s="128">
        <f t="shared" si="4"/>
        <v>187710.37</v>
      </c>
      <c r="AB33" s="128">
        <f t="shared" si="4"/>
        <v>0</v>
      </c>
      <c r="AC33" s="128">
        <f t="shared" si="4"/>
        <v>333233.98</v>
      </c>
      <c r="AD33" s="128">
        <f t="shared" si="4"/>
        <v>0</v>
      </c>
      <c r="AE33" s="126">
        <f t="shared" ref="AE33:AL33" si="5">AE35+AE36+AE37+AE38+AE39</f>
        <v>667959.52</v>
      </c>
      <c r="AF33" s="126">
        <f t="shared" si="5"/>
        <v>0</v>
      </c>
      <c r="AG33" s="126">
        <f t="shared" si="5"/>
        <v>94034.71</v>
      </c>
      <c r="AH33" s="126">
        <f t="shared" si="5"/>
        <v>0</v>
      </c>
      <c r="AI33" s="122">
        <f t="shared" si="5"/>
        <v>797761.55</v>
      </c>
      <c r="AJ33" s="122">
        <f t="shared" si="5"/>
        <v>0</v>
      </c>
      <c r="AK33" s="122">
        <v>0</v>
      </c>
      <c r="AL33" s="122">
        <f t="shared" si="5"/>
        <v>0</v>
      </c>
      <c r="AM33" s="122">
        <f>AM35+AM36+AM37+AM38+AM39</f>
        <v>469673.36</v>
      </c>
      <c r="AN33" s="122">
        <f>AN35+AN36+AN37+AN38+AN39</f>
        <v>0</v>
      </c>
      <c r="AO33" s="122">
        <f>AO35+AO36+AO37+AO38+AO39</f>
        <v>0</v>
      </c>
      <c r="AP33" s="122">
        <f>AP35+AP36+AP37+AP38+AP39</f>
        <v>0</v>
      </c>
      <c r="AQ33" s="116">
        <f>AM33/AI33-1</f>
        <v>-0.41126097140179296</v>
      </c>
      <c r="AR33" s="116" t="e">
        <f>AO33/AK33-1</f>
        <v>#DIV/0!</v>
      </c>
    </row>
    <row r="34" spans="1:47" x14ac:dyDescent="0.25">
      <c r="A34" s="113"/>
      <c r="B34" s="114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5"/>
      <c r="AB34" s="125"/>
      <c r="AC34" s="125"/>
      <c r="AD34" s="125"/>
      <c r="AE34" s="127"/>
      <c r="AF34" s="127"/>
      <c r="AG34" s="127"/>
      <c r="AH34" s="127"/>
      <c r="AI34" s="123"/>
      <c r="AJ34" s="123"/>
      <c r="AK34" s="123"/>
      <c r="AL34" s="123"/>
      <c r="AM34" s="123"/>
      <c r="AN34" s="123"/>
      <c r="AO34" s="123"/>
      <c r="AP34" s="123"/>
      <c r="AQ34" s="117"/>
      <c r="AR34" s="117"/>
    </row>
    <row r="35" spans="1:47" ht="45.75" customHeight="1" x14ac:dyDescent="0.25">
      <c r="A35" s="109" t="s">
        <v>11</v>
      </c>
      <c r="B35" s="110"/>
      <c r="C35" s="2"/>
      <c r="D35" s="2"/>
      <c r="E35" s="2">
        <v>35747.5</v>
      </c>
      <c r="F35" s="2"/>
      <c r="G35" s="2"/>
      <c r="H35" s="2"/>
      <c r="I35" s="2"/>
      <c r="J35" s="2"/>
      <c r="K35" s="2">
        <v>120756.41</v>
      </c>
      <c r="L35" s="2"/>
      <c r="M35" s="2">
        <v>144077.24</v>
      </c>
      <c r="N35" s="2"/>
      <c r="O35" s="2">
        <v>122267.09</v>
      </c>
      <c r="P35" s="2"/>
      <c r="Q35" s="2">
        <v>67770.240000000005</v>
      </c>
      <c r="R35" s="2"/>
      <c r="S35" s="2">
        <f>65281.19+2786.14</f>
        <v>68067.33</v>
      </c>
      <c r="T35" s="2"/>
      <c r="U35" s="2">
        <v>61711.68</v>
      </c>
      <c r="V35" s="2"/>
      <c r="W35" s="2"/>
      <c r="X35" s="2"/>
      <c r="Y35" s="2">
        <v>217.78</v>
      </c>
      <c r="Z35" s="2"/>
      <c r="AA35" s="16">
        <v>35</v>
      </c>
      <c r="AB35" s="16"/>
      <c r="AC35" s="16">
        <f>27611.35+117602.07</f>
        <v>145213.42000000001</v>
      </c>
      <c r="AD35" s="13"/>
      <c r="AE35" s="23">
        <f>56332.86+251324.18</f>
        <v>307657.03999999998</v>
      </c>
      <c r="AF35" s="13"/>
      <c r="AG35" s="23">
        <f>3600+90434.71</f>
        <v>94034.71</v>
      </c>
      <c r="AH35" s="23"/>
      <c r="AI35" s="16">
        <f>30567.15+190377.23</f>
        <v>220944.38</v>
      </c>
      <c r="AJ35" s="16"/>
      <c r="AK35" s="16"/>
      <c r="AL35" s="16"/>
      <c r="AM35" s="16">
        <f>25757.98+52531.73</f>
        <v>78289.710000000006</v>
      </c>
      <c r="AN35" s="16"/>
      <c r="AO35" s="16"/>
      <c r="AP35" s="16"/>
      <c r="AQ35" s="24"/>
      <c r="AR35" s="24"/>
    </row>
    <row r="36" spans="1:47" ht="15.75" customHeight="1" x14ac:dyDescent="0.25">
      <c r="A36" s="109" t="s">
        <v>8</v>
      </c>
      <c r="B36" s="1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>
        <v>172262.37</v>
      </c>
      <c r="AB36" s="16"/>
      <c r="AC36" s="16">
        <v>188020.56</v>
      </c>
      <c r="AD36" s="13"/>
      <c r="AE36" s="23">
        <v>225161</v>
      </c>
      <c r="AF36" s="13"/>
      <c r="AG36" s="13"/>
      <c r="AH36" s="13"/>
      <c r="AI36" s="16">
        <v>372715</v>
      </c>
      <c r="AJ36" s="16"/>
      <c r="AK36" s="16"/>
      <c r="AL36" s="16"/>
      <c r="AM36" s="16">
        <f>215821.22</f>
        <v>215821.22</v>
      </c>
      <c r="AN36" s="16"/>
      <c r="AO36" s="16"/>
      <c r="AP36" s="16"/>
      <c r="AQ36" s="24"/>
      <c r="AR36" s="24"/>
    </row>
    <row r="37" spans="1:47" ht="28.5" customHeight="1" x14ac:dyDescent="0.25">
      <c r="A37" s="109" t="s">
        <v>9</v>
      </c>
      <c r="B37" s="1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3"/>
      <c r="AD37" s="13"/>
      <c r="AE37" s="23"/>
      <c r="AF37" s="13"/>
      <c r="AG37" s="13"/>
      <c r="AH37" s="13"/>
      <c r="AI37" s="16"/>
      <c r="AJ37" s="16"/>
      <c r="AK37" s="16"/>
      <c r="AL37" s="16"/>
      <c r="AM37" s="16"/>
      <c r="AN37" s="16"/>
      <c r="AO37" s="16"/>
      <c r="AP37" s="16"/>
      <c r="AQ37" s="24"/>
      <c r="AR37" s="24"/>
    </row>
    <row r="38" spans="1:47" ht="18" customHeight="1" x14ac:dyDescent="0.25">
      <c r="A38" s="109" t="s">
        <v>10</v>
      </c>
      <c r="B38" s="1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13990</v>
      </c>
      <c r="R38" s="2"/>
      <c r="S38" s="2"/>
      <c r="T38" s="2"/>
      <c r="U38" s="2"/>
      <c r="V38" s="2"/>
      <c r="W38" s="2"/>
      <c r="X38" s="2"/>
      <c r="Y38" s="2"/>
      <c r="Z38" s="2"/>
      <c r="AA38" s="16">
        <v>15413</v>
      </c>
      <c r="AB38" s="16"/>
      <c r="AC38" s="13"/>
      <c r="AD38" s="13"/>
      <c r="AE38" s="23">
        <v>135141.48000000001</v>
      </c>
      <c r="AF38" s="13"/>
      <c r="AG38" s="13"/>
      <c r="AH38" s="13"/>
      <c r="AI38" s="16">
        <v>204102.17</v>
      </c>
      <c r="AJ38" s="16"/>
      <c r="AK38" s="16"/>
      <c r="AL38" s="16"/>
      <c r="AM38" s="16">
        <v>175562.43</v>
      </c>
      <c r="AN38" s="16"/>
      <c r="AO38" s="16"/>
      <c r="AP38" s="16"/>
      <c r="AQ38" s="24"/>
      <c r="AR38" s="24"/>
    </row>
    <row r="39" spans="1:47" ht="30.75" customHeight="1" x14ac:dyDescent="0.25">
      <c r="A39" s="109" t="s">
        <v>16</v>
      </c>
      <c r="B39" s="1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3"/>
      <c r="AD39" s="13"/>
      <c r="AE39" s="13"/>
      <c r="AF39" s="13"/>
      <c r="AG39" s="13"/>
      <c r="AH39" s="13"/>
      <c r="AI39" s="16"/>
      <c r="AJ39" s="16"/>
      <c r="AK39" s="16"/>
      <c r="AL39" s="16"/>
      <c r="AM39" s="13"/>
      <c r="AN39" s="13"/>
      <c r="AO39" s="13"/>
      <c r="AP39" s="13"/>
      <c r="AQ39" s="31"/>
      <c r="AR39" s="31"/>
    </row>
    <row r="40" spans="1:47" x14ac:dyDescent="0.25">
      <c r="A40" s="111" t="s">
        <v>2</v>
      </c>
      <c r="B40" s="112"/>
      <c r="C40" s="115">
        <v>54846675.530000001</v>
      </c>
      <c r="D40" s="115">
        <v>48940486.590000004</v>
      </c>
      <c r="E40" s="115">
        <f>SUM(E42:E46)</f>
        <v>64656891.350000001</v>
      </c>
      <c r="F40" s="115">
        <f>SUM(F42:F46)</f>
        <v>51440732.669999994</v>
      </c>
      <c r="G40" s="115">
        <f t="shared" ref="G40:AD40" si="6">SUM(G42:G46)</f>
        <v>69207433.140000001</v>
      </c>
      <c r="H40" s="115">
        <f t="shared" si="6"/>
        <v>50454846.649999999</v>
      </c>
      <c r="I40" s="115">
        <f t="shared" si="6"/>
        <v>70742852.230000004</v>
      </c>
      <c r="J40" s="115">
        <f t="shared" si="6"/>
        <v>55024116.890000001</v>
      </c>
      <c r="K40" s="115">
        <f t="shared" si="6"/>
        <v>70605066.099999994</v>
      </c>
      <c r="L40" s="115">
        <f t="shared" si="6"/>
        <v>57943952.730000004</v>
      </c>
      <c r="M40" s="115">
        <f t="shared" si="6"/>
        <v>73371785.549999997</v>
      </c>
      <c r="N40" s="115">
        <f t="shared" si="6"/>
        <v>57519633.82</v>
      </c>
      <c r="O40" s="115">
        <f t="shared" si="6"/>
        <v>69857012.25</v>
      </c>
      <c r="P40" s="115">
        <f t="shared" si="6"/>
        <v>65548817.789999999</v>
      </c>
      <c r="Q40" s="115">
        <f t="shared" si="6"/>
        <v>71509757.569999993</v>
      </c>
      <c r="R40" s="115">
        <f t="shared" si="6"/>
        <v>57862859.439999998</v>
      </c>
      <c r="S40" s="115">
        <f t="shared" si="6"/>
        <v>71486946.959999993</v>
      </c>
      <c r="T40" s="115">
        <f t="shared" si="6"/>
        <v>57789918.439999998</v>
      </c>
      <c r="U40" s="115">
        <f t="shared" si="6"/>
        <v>70592079.479999989</v>
      </c>
      <c r="V40" s="115">
        <f t="shared" si="6"/>
        <v>61579945.239999995</v>
      </c>
      <c r="W40" s="115">
        <f t="shared" si="6"/>
        <v>66866461.460000001</v>
      </c>
      <c r="X40" s="115">
        <f t="shared" si="6"/>
        <v>57735277.960000001</v>
      </c>
      <c r="Y40" s="115">
        <f t="shared" si="6"/>
        <v>103038065.23999999</v>
      </c>
      <c r="Z40" s="115">
        <f t="shared" si="6"/>
        <v>90836160.789999992</v>
      </c>
      <c r="AA40" s="128">
        <f t="shared" si="6"/>
        <v>56387437.119999997</v>
      </c>
      <c r="AB40" s="128">
        <f t="shared" si="6"/>
        <v>15533763.189999999</v>
      </c>
      <c r="AC40" s="128">
        <f t="shared" si="6"/>
        <v>119943838.53</v>
      </c>
      <c r="AD40" s="128">
        <f t="shared" si="6"/>
        <v>72448338.349999994</v>
      </c>
      <c r="AE40" s="126">
        <f t="shared" ref="AE40:AL40" si="7">AE42+AE43+AE44+AE45+AE46</f>
        <v>98597337.969999999</v>
      </c>
      <c r="AF40" s="126">
        <f t="shared" si="7"/>
        <v>28249113.57</v>
      </c>
      <c r="AG40" s="126">
        <f t="shared" si="7"/>
        <v>52538002.529999994</v>
      </c>
      <c r="AH40" s="126">
        <f t="shared" si="7"/>
        <v>0</v>
      </c>
      <c r="AI40" s="122">
        <f t="shared" si="7"/>
        <v>63217359.389999993</v>
      </c>
      <c r="AJ40" s="122">
        <f t="shared" si="7"/>
        <v>27862807.449999999</v>
      </c>
      <c r="AK40" s="122">
        <f t="shared" si="7"/>
        <v>9411597.2899999991</v>
      </c>
      <c r="AL40" s="122">
        <f t="shared" si="7"/>
        <v>0</v>
      </c>
      <c r="AM40" s="122">
        <f>AM42+AM43+AM44+AM45+AM46</f>
        <v>38631204.959999993</v>
      </c>
      <c r="AN40" s="122">
        <f>AN42+AN43+AN44+AN45+AN46</f>
        <v>9956081.9100000001</v>
      </c>
      <c r="AO40" s="122">
        <f>AO42+AO43+AO44+AO45+AO46</f>
        <v>7049745.8999999994</v>
      </c>
      <c r="AP40" s="122">
        <f>AP42+AP43+AP44+AP45+AP46</f>
        <v>0</v>
      </c>
      <c r="AQ40" s="116">
        <f>AM40/AI40-1</f>
        <v>-0.38891460616574169</v>
      </c>
      <c r="AR40" s="116">
        <f>AO40/AK40-1</f>
        <v>-0.2509511740913003</v>
      </c>
    </row>
    <row r="41" spans="1:47" ht="12" customHeight="1" x14ac:dyDescent="0.25">
      <c r="A41" s="113"/>
      <c r="B41" s="114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25"/>
      <c r="AB41" s="125"/>
      <c r="AC41" s="125"/>
      <c r="AD41" s="125"/>
      <c r="AE41" s="127"/>
      <c r="AF41" s="127"/>
      <c r="AG41" s="127"/>
      <c r="AH41" s="127"/>
      <c r="AI41" s="123"/>
      <c r="AJ41" s="123"/>
      <c r="AK41" s="123"/>
      <c r="AL41" s="123"/>
      <c r="AM41" s="123"/>
      <c r="AN41" s="123"/>
      <c r="AO41" s="123"/>
      <c r="AP41" s="123"/>
      <c r="AQ41" s="117"/>
      <c r="AR41" s="117"/>
    </row>
    <row r="42" spans="1:47" ht="43.5" customHeight="1" x14ac:dyDescent="0.25">
      <c r="A42" s="109" t="s">
        <v>11</v>
      </c>
      <c r="B42" s="110"/>
      <c r="C42" s="2"/>
      <c r="D42" s="2"/>
      <c r="E42" s="2">
        <v>10110055.9</v>
      </c>
      <c r="F42" s="2">
        <f>51442088.62-49312861.59</f>
        <v>2129227.0299999937</v>
      </c>
      <c r="G42" s="2">
        <v>10146692.35</v>
      </c>
      <c r="H42" s="2">
        <v>2129227.0299999998</v>
      </c>
      <c r="I42" s="2">
        <v>14616479.76</v>
      </c>
      <c r="J42" s="2">
        <v>2129227.0299999998</v>
      </c>
      <c r="K42" s="2">
        <v>7843217.96</v>
      </c>
      <c r="L42" s="2">
        <v>2129227.0299999998</v>
      </c>
      <c r="M42" s="2">
        <v>7533070</v>
      </c>
      <c r="N42" s="2">
        <v>2129227.0299999998</v>
      </c>
      <c r="O42" s="2">
        <v>6652443.1100000003</v>
      </c>
      <c r="P42" s="2">
        <v>2344248.65</v>
      </c>
      <c r="Q42" s="2">
        <f>8677372.77+42645.25</f>
        <v>8720018.0199999996</v>
      </c>
      <c r="R42" s="2">
        <f>2344248.65</f>
        <v>2344248.65</v>
      </c>
      <c r="S42" s="2">
        <f>69747.65+9218096.72</f>
        <v>9287844.370000001</v>
      </c>
      <c r="T42" s="2">
        <v>2271307.65</v>
      </c>
      <c r="U42" s="2">
        <f>94170.06+10964271.83</f>
        <v>11058441.890000001</v>
      </c>
      <c r="V42" s="2">
        <f>2046307.65</f>
        <v>2046307.65</v>
      </c>
      <c r="W42" s="2">
        <f>11194823.81+98358.34</f>
        <v>11293182.15</v>
      </c>
      <c r="X42" s="2">
        <f>2161998.65</f>
        <v>2161998.65</v>
      </c>
      <c r="Y42" s="2">
        <v>13594212.15</v>
      </c>
      <c r="Z42" s="2">
        <v>4751435.4800000004</v>
      </c>
      <c r="AA42" s="16">
        <f>77325.12+12375433.35</f>
        <v>12452758.469999999</v>
      </c>
      <c r="AB42" s="16">
        <v>1634678.03</v>
      </c>
      <c r="AC42" s="16">
        <f>263374.33+25371454.14</f>
        <v>25634828.469999999</v>
      </c>
      <c r="AD42" s="16">
        <v>7111498.0199999996</v>
      </c>
      <c r="AE42" s="23">
        <f>361338.29+22200823.79</f>
        <v>22562162.079999998</v>
      </c>
      <c r="AF42" s="23">
        <v>1203080.3799999999</v>
      </c>
      <c r="AG42" s="23">
        <f>223320.42+7979287.52</f>
        <v>8202607.9399999995</v>
      </c>
      <c r="AH42" s="13"/>
      <c r="AI42" s="16">
        <f>58898.5+5757823.28+84105.04+8232493.31</f>
        <v>14133320.129999999</v>
      </c>
      <c r="AJ42" s="16">
        <f>58898.5+84105.04</f>
        <v>143003.53999999998</v>
      </c>
      <c r="AK42" s="16">
        <v>1077110.1399999999</v>
      </c>
      <c r="AL42" s="16"/>
      <c r="AM42" s="16">
        <f>5444383.26+5255161.22</f>
        <v>10699544.48</v>
      </c>
      <c r="AN42" s="16">
        <f>234286.18+92664.77</f>
        <v>326950.95</v>
      </c>
      <c r="AO42" s="16">
        <v>220343.81</v>
      </c>
      <c r="AP42" s="16"/>
      <c r="AQ42" s="24"/>
      <c r="AR42" s="24"/>
      <c r="AU42" s="30"/>
    </row>
    <row r="43" spans="1:47" ht="18" customHeight="1" x14ac:dyDescent="0.25">
      <c r="A43" s="109" t="s">
        <v>8</v>
      </c>
      <c r="B43" s="1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6">
        <f>774524.11+20097533.72</f>
        <v>20872057.829999998</v>
      </c>
      <c r="AB43" s="16"/>
      <c r="AC43" s="16">
        <f>815882.11+24539657.77</f>
        <v>25355539.879999999</v>
      </c>
      <c r="AD43" s="16"/>
      <c r="AE43" s="23">
        <f>826423.25+23317982.32</f>
        <v>24144405.57</v>
      </c>
      <c r="AF43" s="23">
        <v>16922780.550000001</v>
      </c>
      <c r="AG43" s="23"/>
      <c r="AH43" s="13"/>
      <c r="AI43" s="16">
        <f>6636427.13+2761581.99+10175763.76+5190667.21</f>
        <v>24764440.090000004</v>
      </c>
      <c r="AJ43" s="16">
        <f>6636427.13+10175763.76</f>
        <v>16812190.890000001</v>
      </c>
      <c r="AK43" s="16"/>
      <c r="AL43" s="16"/>
      <c r="AM43" s="16">
        <f>6717573.56+3637804.87</f>
        <v>10355378.43</v>
      </c>
      <c r="AN43" s="16">
        <f>4380208.27+1898937.1</f>
        <v>6279145.3699999992</v>
      </c>
      <c r="AO43" s="16"/>
      <c r="AP43" s="16"/>
      <c r="AQ43" s="24"/>
      <c r="AR43" s="24"/>
    </row>
    <row r="44" spans="1:47" ht="44.25" customHeight="1" x14ac:dyDescent="0.25">
      <c r="A44" s="109" t="s">
        <v>9</v>
      </c>
      <c r="B44" s="110"/>
      <c r="C44" s="2"/>
      <c r="D44" s="2"/>
      <c r="E44" s="2">
        <v>4317281.3899999997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3356790.95</v>
      </c>
      <c r="Z44" s="2"/>
      <c r="AA44" s="16">
        <f>511757.59+6814505.62</f>
        <v>7326263.21</v>
      </c>
      <c r="AB44" s="16"/>
      <c r="AC44" s="16">
        <f>484038.54+11956133.92</f>
        <v>12440172.459999999</v>
      </c>
      <c r="AD44" s="16">
        <v>10626588</v>
      </c>
      <c r="AE44" s="23">
        <f>871920.5+16450579.56</f>
        <v>17322500.060000002</v>
      </c>
      <c r="AF44" s="23">
        <v>10123252.640000001</v>
      </c>
      <c r="AG44" s="23">
        <f>353493.68+11501508.54</f>
        <v>11855002.219999999</v>
      </c>
      <c r="AH44" s="13"/>
      <c r="AI44" s="16">
        <f>4846101.83+2549979.72+3834472.6+2522828.53</f>
        <v>13753382.68</v>
      </c>
      <c r="AJ44" s="16">
        <f>4846101.83+3834472.6</f>
        <v>8680574.4299999997</v>
      </c>
      <c r="AK44" s="16"/>
      <c r="AL44" s="16"/>
      <c r="AM44" s="16">
        <f>2114120.01+5369431.12</f>
        <v>7483551.1299999999</v>
      </c>
      <c r="AN44" s="16">
        <v>3252300.84</v>
      </c>
      <c r="AO44" s="16"/>
      <c r="AP44" s="16"/>
      <c r="AQ44" s="24"/>
      <c r="AR44" s="24"/>
    </row>
    <row r="45" spans="1:47" ht="16.899999999999999" customHeight="1" x14ac:dyDescent="0.25">
      <c r="A45" s="109" t="s">
        <v>10</v>
      </c>
      <c r="B45" s="110"/>
      <c r="C45" s="2"/>
      <c r="D45" s="2"/>
      <c r="E45" s="2">
        <v>50229554.060000002</v>
      </c>
      <c r="F45" s="2">
        <v>49311505.640000001</v>
      </c>
      <c r="G45" s="2">
        <f>54914409.14+4146331.65</f>
        <v>59060740.789999999</v>
      </c>
      <c r="H45" s="2">
        <f>4092516+44233103.62</f>
        <v>48325619.619999997</v>
      </c>
      <c r="I45" s="2">
        <f>4125519+52000853.47</f>
        <v>56126372.469999999</v>
      </c>
      <c r="J45" s="2">
        <f>4092516+48802373.86</f>
        <v>52894889.859999999</v>
      </c>
      <c r="K45" s="2">
        <f>4106722+58655126.14</f>
        <v>62761848.140000001</v>
      </c>
      <c r="L45" s="2">
        <f>4092516+51722209.7</f>
        <v>55814725.700000003</v>
      </c>
      <c r="M45" s="2">
        <f>3726327.65+62112387.9</f>
        <v>65838715.549999997</v>
      </c>
      <c r="N45" s="2">
        <f>51679075.14+3711331.65</f>
        <v>55390406.789999999</v>
      </c>
      <c r="O45" s="2">
        <f>3292052+59912517.14</f>
        <v>63204569.140000001</v>
      </c>
      <c r="P45" s="2">
        <f>3292052+59912517.14</f>
        <v>63204569.140000001</v>
      </c>
      <c r="Q45" s="2">
        <f>59493077.9+3296661.65</f>
        <v>62789739.549999997</v>
      </c>
      <c r="R45" s="2">
        <f>3296661.65+52221949.14</f>
        <v>55518610.789999999</v>
      </c>
      <c r="S45" s="2">
        <f>58887656.94+3311445.65</f>
        <v>62199102.589999996</v>
      </c>
      <c r="T45" s="2">
        <f>3296661.65+52221949.14</f>
        <v>55518610.789999999</v>
      </c>
      <c r="U45" s="2">
        <f>56222191.94+3311445.65</f>
        <v>59533637.589999996</v>
      </c>
      <c r="V45" s="2">
        <f>3311445.65+56222191.94</f>
        <v>59533637.589999996</v>
      </c>
      <c r="W45" s="2">
        <f>1281078.35+54292200.96</f>
        <v>55573279.310000002</v>
      </c>
      <c r="X45" s="2">
        <f>54292200.96+1281078.35</f>
        <v>55573279.310000002</v>
      </c>
      <c r="Y45" s="2">
        <v>55305512.479999997</v>
      </c>
      <c r="Z45" s="2">
        <v>55305512.479999997</v>
      </c>
      <c r="AA45" s="16">
        <v>12430432.640000001</v>
      </c>
      <c r="AB45" s="16">
        <v>12430432.640000001</v>
      </c>
      <c r="AC45" s="16">
        <v>19001954.52</v>
      </c>
      <c r="AD45" s="16">
        <v>19001954.52</v>
      </c>
      <c r="AE45" s="23">
        <f>8958+7347927.08</f>
        <v>7356885.0800000001</v>
      </c>
      <c r="AF45" s="13"/>
      <c r="AG45" s="23">
        <f>8958+6907494.08</f>
        <v>6916452.0800000001</v>
      </c>
      <c r="AH45" s="13"/>
      <c r="AI45" s="16">
        <f>2101880.84+3050643.64</f>
        <v>5152524.4800000004</v>
      </c>
      <c r="AJ45" s="16"/>
      <c r="AK45" s="16">
        <f>2101856.09+3050642.64</f>
        <v>5152498.7300000004</v>
      </c>
      <c r="AL45" s="16"/>
      <c r="AM45" s="16">
        <f>3001256.74+6040306.35</f>
        <v>9041563.0899999999</v>
      </c>
      <c r="AN45" s="16"/>
      <c r="AO45" s="16">
        <f>2798553.74+4030848.35</f>
        <v>6829402.0899999999</v>
      </c>
      <c r="AP45" s="16"/>
      <c r="AQ45" s="24" t="s">
        <v>42</v>
      </c>
      <c r="AR45" s="24"/>
    </row>
    <row r="46" spans="1:47" ht="31.5" customHeight="1" x14ac:dyDescent="0.25">
      <c r="A46" s="109" t="s">
        <v>16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30781549.66</v>
      </c>
      <c r="Z46" s="2">
        <v>30779212.829999998</v>
      </c>
      <c r="AA46" s="16">
        <f>3305399.51+525.46</f>
        <v>3305924.9699999997</v>
      </c>
      <c r="AB46" s="16">
        <v>1468652.52</v>
      </c>
      <c r="AC46" s="16">
        <f>37418429.35+92913.85</f>
        <v>37511343.200000003</v>
      </c>
      <c r="AD46" s="16">
        <v>35708297.810000002</v>
      </c>
      <c r="AE46" s="23">
        <f>27144292.69+67092.49</f>
        <v>27211385.18</v>
      </c>
      <c r="AF46" s="13"/>
      <c r="AG46" s="23">
        <v>25563940.289999999</v>
      </c>
      <c r="AH46" s="13"/>
      <c r="AI46" s="16">
        <f>5363159.41+45867.6+4665</f>
        <v>5413692.0099999998</v>
      </c>
      <c r="AJ46" s="16">
        <f>45867.6+2181170.99</f>
        <v>2227038.5900000003</v>
      </c>
      <c r="AK46" s="16">
        <v>3181988.42</v>
      </c>
      <c r="AL46" s="16"/>
      <c r="AM46" s="16">
        <f>896447.93+154719.9</f>
        <v>1051167.83</v>
      </c>
      <c r="AN46" s="16">
        <f>69749.44+27935.31</f>
        <v>97684.75</v>
      </c>
      <c r="AO46" s="16"/>
      <c r="AP46" s="16"/>
      <c r="AQ46" s="24"/>
      <c r="AR46" s="24"/>
    </row>
    <row r="47" spans="1:47" x14ac:dyDescent="0.25">
      <c r="A47" s="111" t="s">
        <v>3</v>
      </c>
      <c r="B47" s="112"/>
      <c r="C47" s="115">
        <v>-7680.14</v>
      </c>
      <c r="D47" s="115">
        <f>SUM(D49:D53)</f>
        <v>0</v>
      </c>
      <c r="E47" s="115">
        <f t="shared" ref="E47:AD47" si="8">SUM(E49:E53)</f>
        <v>0</v>
      </c>
      <c r="F47" s="115">
        <f t="shared" si="8"/>
        <v>0</v>
      </c>
      <c r="G47" s="115">
        <f t="shared" si="8"/>
        <v>114426.95</v>
      </c>
      <c r="H47" s="115">
        <f t="shared" si="8"/>
        <v>0</v>
      </c>
      <c r="I47" s="115">
        <f t="shared" si="8"/>
        <v>88290.77</v>
      </c>
      <c r="J47" s="115">
        <f t="shared" si="8"/>
        <v>0</v>
      </c>
      <c r="K47" s="115">
        <f t="shared" si="8"/>
        <v>51440.42</v>
      </c>
      <c r="L47" s="115">
        <f t="shared" si="8"/>
        <v>0</v>
      </c>
      <c r="M47" s="115">
        <f t="shared" si="8"/>
        <v>169857.58</v>
      </c>
      <c r="N47" s="115">
        <f t="shared" si="8"/>
        <v>0</v>
      </c>
      <c r="O47" s="115">
        <f t="shared" si="8"/>
        <v>77731.77</v>
      </c>
      <c r="P47" s="115">
        <f t="shared" si="8"/>
        <v>0</v>
      </c>
      <c r="Q47" s="115">
        <f t="shared" si="8"/>
        <v>55035.07</v>
      </c>
      <c r="R47" s="115">
        <f t="shared" si="8"/>
        <v>0</v>
      </c>
      <c r="S47" s="115">
        <f t="shared" si="8"/>
        <v>80513.679999999993</v>
      </c>
      <c r="T47" s="115">
        <f t="shared" si="8"/>
        <v>0</v>
      </c>
      <c r="U47" s="115">
        <f t="shared" si="8"/>
        <v>77945.259999999995</v>
      </c>
      <c r="V47" s="115">
        <f t="shared" si="8"/>
        <v>0</v>
      </c>
      <c r="W47" s="115">
        <f t="shared" si="8"/>
        <v>84064.9</v>
      </c>
      <c r="X47" s="115">
        <f t="shared" si="8"/>
        <v>0</v>
      </c>
      <c r="Y47" s="115">
        <f t="shared" si="8"/>
        <v>0</v>
      </c>
      <c r="Z47" s="115">
        <f t="shared" si="8"/>
        <v>0</v>
      </c>
      <c r="AA47" s="128">
        <f t="shared" si="8"/>
        <v>663721.94999999995</v>
      </c>
      <c r="AB47" s="128">
        <f t="shared" si="8"/>
        <v>0</v>
      </c>
      <c r="AC47" s="128">
        <f t="shared" si="8"/>
        <v>856387.40999999992</v>
      </c>
      <c r="AD47" s="128">
        <f t="shared" si="8"/>
        <v>0</v>
      </c>
      <c r="AE47" s="126">
        <f t="shared" ref="AE47:AL47" si="9">AE49+AE50+AE51+AE52+AE53</f>
        <v>807619</v>
      </c>
      <c r="AF47" s="126">
        <f t="shared" si="9"/>
        <v>0</v>
      </c>
      <c r="AG47" s="126">
        <f t="shared" si="9"/>
        <v>0</v>
      </c>
      <c r="AH47" s="126">
        <f t="shared" si="9"/>
        <v>0</v>
      </c>
      <c r="AI47" s="122">
        <f t="shared" si="9"/>
        <v>1745805.9500000002</v>
      </c>
      <c r="AJ47" s="122">
        <f t="shared" si="9"/>
        <v>0</v>
      </c>
      <c r="AK47" s="122">
        <v>0</v>
      </c>
      <c r="AL47" s="122">
        <f t="shared" si="9"/>
        <v>0</v>
      </c>
      <c r="AM47" s="122">
        <f>AM49+AM50+AM51+AM52+AM53</f>
        <v>1601702.68</v>
      </c>
      <c r="AN47" s="122">
        <f>AN49+AN50+AN51+AN52+AN53</f>
        <v>0</v>
      </c>
      <c r="AO47" s="122">
        <f>AO49+AO50+AO51+AO52+AO53</f>
        <v>0</v>
      </c>
      <c r="AP47" s="122">
        <f>AP49+AP50+AP51+AP52+AP53</f>
        <v>0</v>
      </c>
      <c r="AQ47" s="116">
        <f>AM47/AI47-1</f>
        <v>-8.2542547182864356E-2</v>
      </c>
      <c r="AR47" s="116" t="e">
        <f>AO47/AK47-1</f>
        <v>#DIV/0!</v>
      </c>
    </row>
    <row r="48" spans="1:47" x14ac:dyDescent="0.25">
      <c r="A48" s="113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5"/>
      <c r="AB48" s="125"/>
      <c r="AC48" s="125"/>
      <c r="AD48" s="125"/>
      <c r="AE48" s="127"/>
      <c r="AF48" s="127"/>
      <c r="AG48" s="127"/>
      <c r="AH48" s="127"/>
      <c r="AI48" s="123"/>
      <c r="AJ48" s="123"/>
      <c r="AK48" s="123"/>
      <c r="AL48" s="123"/>
      <c r="AM48" s="123"/>
      <c r="AN48" s="123"/>
      <c r="AO48" s="123"/>
      <c r="AP48" s="123"/>
      <c r="AQ48" s="117"/>
      <c r="AR48" s="117"/>
    </row>
    <row r="49" spans="1:44" ht="43.5" customHeight="1" x14ac:dyDescent="0.25">
      <c r="A49" s="109" t="s">
        <v>11</v>
      </c>
      <c r="B49" s="110"/>
      <c r="C49" s="2">
        <v>0</v>
      </c>
      <c r="D49" s="2"/>
      <c r="E49" s="2">
        <v>0</v>
      </c>
      <c r="F49" s="2"/>
      <c r="G49" s="2">
        <v>114426.95</v>
      </c>
      <c r="H49" s="2"/>
      <c r="I49" s="2">
        <v>88290.77</v>
      </c>
      <c r="J49" s="2"/>
      <c r="K49" s="2">
        <v>51440.42</v>
      </c>
      <c r="L49" s="2"/>
      <c r="M49" s="2">
        <v>169857.58</v>
      </c>
      <c r="N49" s="2"/>
      <c r="O49" s="2">
        <v>77731.77</v>
      </c>
      <c r="P49" s="2"/>
      <c r="Q49" s="2">
        <v>55035.07</v>
      </c>
      <c r="R49" s="2"/>
      <c r="S49" s="2">
        <v>80513.679999999993</v>
      </c>
      <c r="T49" s="2"/>
      <c r="U49" s="2">
        <v>77945.259999999995</v>
      </c>
      <c r="V49" s="2"/>
      <c r="W49" s="2">
        <v>84064.9</v>
      </c>
      <c r="X49" s="2"/>
      <c r="Y49" s="2"/>
      <c r="Z49" s="2"/>
      <c r="AA49" s="16">
        <v>4839.6099999999997</v>
      </c>
      <c r="AB49" s="16"/>
      <c r="AC49" s="16">
        <v>85242.16</v>
      </c>
      <c r="AD49" s="13"/>
      <c r="AE49" s="23">
        <v>172973.85</v>
      </c>
      <c r="AF49" s="23"/>
      <c r="AG49" s="23"/>
      <c r="AH49" s="23"/>
      <c r="AI49" s="16">
        <f>72200.43+5275.44</f>
        <v>77475.87</v>
      </c>
      <c r="AJ49" s="16"/>
      <c r="AK49" s="16"/>
      <c r="AL49" s="16"/>
      <c r="AM49" s="16">
        <f>165592.36+8513.36</f>
        <v>174105.71999999997</v>
      </c>
      <c r="AN49" s="16"/>
      <c r="AO49" s="16"/>
      <c r="AP49" s="16"/>
      <c r="AQ49" s="24"/>
      <c r="AR49" s="24"/>
    </row>
    <row r="50" spans="1:44" ht="18.600000000000001" customHeight="1" x14ac:dyDescent="0.25">
      <c r="A50" s="109" t="s">
        <v>8</v>
      </c>
      <c r="B50" s="1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6">
        <v>446550.73</v>
      </c>
      <c r="AB50" s="16"/>
      <c r="AC50" s="16">
        <v>451706.16</v>
      </c>
      <c r="AD50" s="13"/>
      <c r="AE50" s="23">
        <v>291019.77</v>
      </c>
      <c r="AF50" s="23"/>
      <c r="AG50" s="23"/>
      <c r="AH50" s="23"/>
      <c r="AI50" s="16">
        <f>696234.36+399212.22</f>
        <v>1095446.58</v>
      </c>
      <c r="AJ50" s="16"/>
      <c r="AK50" s="16"/>
      <c r="AL50" s="16"/>
      <c r="AM50" s="16">
        <f>340126.11+388732.63</f>
        <v>728858.74</v>
      </c>
      <c r="AN50" s="16"/>
      <c r="AO50" s="16"/>
      <c r="AP50" s="16"/>
      <c r="AQ50" s="24"/>
      <c r="AR50" s="24"/>
    </row>
    <row r="51" spans="1:44" ht="29.25" customHeight="1" x14ac:dyDescent="0.25">
      <c r="A51" s="109" t="s">
        <v>9</v>
      </c>
      <c r="B51" s="110"/>
      <c r="C51" s="2">
        <v>0</v>
      </c>
      <c r="D51" s="2"/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6"/>
      <c r="AB51" s="23"/>
      <c r="AC51" s="16"/>
      <c r="AD51" s="13"/>
      <c r="AE51" s="23"/>
      <c r="AF51" s="23"/>
      <c r="AG51" s="23"/>
      <c r="AH51" s="23"/>
      <c r="AI51" s="16"/>
      <c r="AJ51" s="16"/>
      <c r="AK51" s="16"/>
      <c r="AL51" s="16"/>
      <c r="AM51" s="16"/>
      <c r="AN51" s="16"/>
      <c r="AO51" s="16"/>
      <c r="AP51" s="16"/>
      <c r="AQ51" s="24"/>
      <c r="AR51" s="24"/>
    </row>
    <row r="52" spans="1:44" x14ac:dyDescent="0.25">
      <c r="A52" s="109" t="s">
        <v>10</v>
      </c>
      <c r="B52" s="1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6">
        <v>212331.61</v>
      </c>
      <c r="AB52" s="16"/>
      <c r="AC52" s="16">
        <v>319439.09000000003</v>
      </c>
      <c r="AD52" s="13"/>
      <c r="AE52" s="23">
        <v>343625.38</v>
      </c>
      <c r="AF52" s="23"/>
      <c r="AG52" s="23"/>
      <c r="AH52" s="23"/>
      <c r="AI52" s="16">
        <f>340695.57+232187.93</f>
        <v>572883.5</v>
      </c>
      <c r="AJ52" s="16"/>
      <c r="AK52" s="16"/>
      <c r="AL52" s="16"/>
      <c r="AM52" s="16">
        <f>342429.94+187808.28</f>
        <v>530238.22</v>
      </c>
      <c r="AN52" s="16"/>
      <c r="AO52" s="16"/>
      <c r="AP52" s="16"/>
      <c r="AQ52" s="24"/>
      <c r="AR52" s="24"/>
    </row>
    <row r="53" spans="1:44" ht="27.75" customHeight="1" x14ac:dyDescent="0.25">
      <c r="A53" s="109" t="s">
        <v>16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6"/>
      <c r="AJ53" s="16"/>
      <c r="AK53" s="16"/>
      <c r="AL53" s="16"/>
      <c r="AM53" s="16">
        <v>168500</v>
      </c>
      <c r="AN53" s="16"/>
      <c r="AO53" s="16"/>
      <c r="AP53" s="16"/>
      <c r="AQ53" s="24"/>
      <c r="AR53" s="24"/>
    </row>
    <row r="54" spans="1:44" x14ac:dyDescent="0.25">
      <c r="A54" s="111" t="s">
        <v>19</v>
      </c>
      <c r="B54" s="112"/>
      <c r="C54" s="115">
        <v>24738.76</v>
      </c>
      <c r="D54" s="115">
        <f t="shared" ref="D54:Z54" si="10">SUM(D56:D60)</f>
        <v>0</v>
      </c>
      <c r="E54" s="115">
        <f t="shared" si="10"/>
        <v>162585.41</v>
      </c>
      <c r="F54" s="115">
        <f t="shared" si="10"/>
        <v>0</v>
      </c>
      <c r="G54" s="115">
        <f t="shared" si="10"/>
        <v>2836261.8599999994</v>
      </c>
      <c r="H54" s="115">
        <f t="shared" si="10"/>
        <v>179639.45</v>
      </c>
      <c r="I54" s="115">
        <f t="shared" si="10"/>
        <v>2968161.5</v>
      </c>
      <c r="J54" s="115">
        <f t="shared" si="10"/>
        <v>179639.45</v>
      </c>
      <c r="K54" s="115">
        <f t="shared" si="10"/>
        <v>3579888.6599999997</v>
      </c>
      <c r="L54" s="115">
        <f t="shared" si="10"/>
        <v>179639.45</v>
      </c>
      <c r="M54" s="115">
        <f t="shared" si="10"/>
        <v>2288254.44</v>
      </c>
      <c r="N54" s="115">
        <f t="shared" si="10"/>
        <v>179639.45</v>
      </c>
      <c r="O54" s="115">
        <f t="shared" si="10"/>
        <v>2699902.61</v>
      </c>
      <c r="P54" s="115">
        <f t="shared" si="10"/>
        <v>179639.45</v>
      </c>
      <c r="Q54" s="115">
        <f t="shared" si="10"/>
        <v>2782603.59</v>
      </c>
      <c r="R54" s="115">
        <f t="shared" si="10"/>
        <v>179639.45</v>
      </c>
      <c r="S54" s="115">
        <f t="shared" si="10"/>
        <v>2615855.7999999998</v>
      </c>
      <c r="T54" s="115">
        <f t="shared" si="10"/>
        <v>179639.45</v>
      </c>
      <c r="U54" s="115">
        <f t="shared" si="10"/>
        <v>2483055.5499999998</v>
      </c>
      <c r="V54" s="115">
        <f t="shared" si="10"/>
        <v>142806.04</v>
      </c>
      <c r="W54" s="115">
        <f t="shared" si="10"/>
        <v>2680559.16</v>
      </c>
      <c r="X54" s="115">
        <f t="shared" si="10"/>
        <v>142806.04</v>
      </c>
      <c r="Y54" s="115">
        <f t="shared" si="10"/>
        <v>79878.12999999999</v>
      </c>
      <c r="Z54" s="115">
        <f t="shared" si="10"/>
        <v>0</v>
      </c>
      <c r="AA54" s="128">
        <f>SUM(AA56:AA60)</f>
        <v>2592606.9299999997</v>
      </c>
      <c r="AB54" s="128">
        <f>SUM(AB56:AB60)</f>
        <v>0</v>
      </c>
      <c r="AC54" s="128">
        <f>SUM(AC56:AC60)</f>
        <v>4410926.9800000004</v>
      </c>
      <c r="AD54" s="128">
        <f>SUM(AD56:AD60)</f>
        <v>1508980.59</v>
      </c>
      <c r="AE54" s="126">
        <f t="shared" ref="AE54:AJ54" si="11">AE56+AE57+AE58+AE59+AE60</f>
        <v>6043790.8399999999</v>
      </c>
      <c r="AF54" s="126">
        <f t="shared" si="11"/>
        <v>5996669.2400000002</v>
      </c>
      <c r="AG54" s="126">
        <f t="shared" si="11"/>
        <v>1880593.8800000001</v>
      </c>
      <c r="AH54" s="126">
        <f t="shared" si="11"/>
        <v>1880593.88</v>
      </c>
      <c r="AI54" s="122">
        <f t="shared" si="11"/>
        <v>4401686.4800000004</v>
      </c>
      <c r="AJ54" s="122">
        <f t="shared" si="11"/>
        <v>4300435.1999999993</v>
      </c>
      <c r="AK54" s="122">
        <v>0</v>
      </c>
      <c r="AL54" s="122">
        <v>0</v>
      </c>
      <c r="AM54" s="122">
        <f>AM56+AM57+AM58+AM59+AM60</f>
        <v>5689198.3399999999</v>
      </c>
      <c r="AN54" s="122">
        <f>AN56+AN57+AN58+AN59+AN60</f>
        <v>5610520.540000001</v>
      </c>
      <c r="AO54" s="122">
        <f>AO56+AO57+AO58+AO59+AO60</f>
        <v>0</v>
      </c>
      <c r="AP54" s="122">
        <f>AP56+AP57+AP58+AP59+AP60</f>
        <v>0</v>
      </c>
      <c r="AQ54" s="116">
        <f>AM54/AI54-1</f>
        <v>0.29250421761070067</v>
      </c>
      <c r="AR54" s="116" t="e">
        <f>AO54/AK54-1</f>
        <v>#DIV/0!</v>
      </c>
    </row>
    <row r="55" spans="1:44" x14ac:dyDescent="0.25">
      <c r="A55" s="113"/>
      <c r="B55" s="11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5"/>
      <c r="AB55" s="125"/>
      <c r="AC55" s="125"/>
      <c r="AD55" s="125"/>
      <c r="AE55" s="127"/>
      <c r="AF55" s="127"/>
      <c r="AG55" s="127"/>
      <c r="AH55" s="127"/>
      <c r="AI55" s="123"/>
      <c r="AJ55" s="123"/>
      <c r="AK55" s="123"/>
      <c r="AL55" s="123"/>
      <c r="AM55" s="123"/>
      <c r="AN55" s="123"/>
      <c r="AO55" s="123"/>
      <c r="AP55" s="123"/>
      <c r="AQ55" s="117"/>
      <c r="AR55" s="117"/>
    </row>
    <row r="56" spans="1:44" ht="44.25" customHeight="1" x14ac:dyDescent="0.25">
      <c r="A56" s="109" t="s">
        <v>11</v>
      </c>
      <c r="B56" s="110"/>
      <c r="C56" s="2"/>
      <c r="D56" s="2"/>
      <c r="E56" s="2">
        <v>162585.41</v>
      </c>
      <c r="F56" s="2"/>
      <c r="G56" s="2">
        <f>410855.69+138863.03</f>
        <v>549718.72</v>
      </c>
      <c r="H56" s="2">
        <v>179639.45</v>
      </c>
      <c r="I56" s="2">
        <f>349786.74+482870.23</f>
        <v>832656.97</v>
      </c>
      <c r="J56" s="2">
        <v>179639.45</v>
      </c>
      <c r="K56" s="2">
        <f>325550.4+256894.84</f>
        <v>582445.24</v>
      </c>
      <c r="L56" s="2">
        <v>179639.45</v>
      </c>
      <c r="M56" s="2">
        <f>32098.35+367708.31</f>
        <v>399806.66</v>
      </c>
      <c r="N56" s="2">
        <v>179639.45</v>
      </c>
      <c r="O56" s="2">
        <f>19053.66+339996.73</f>
        <v>359050.38999999996</v>
      </c>
      <c r="P56" s="2">
        <v>179639.45</v>
      </c>
      <c r="Q56" s="2">
        <f>214101.64+184501.39</f>
        <v>398603.03</v>
      </c>
      <c r="R56" s="2">
        <v>179639.45</v>
      </c>
      <c r="S56" s="2">
        <f>293392.92+82646.26</f>
        <v>376039.18</v>
      </c>
      <c r="T56" s="2">
        <v>179639.45</v>
      </c>
      <c r="U56" s="2">
        <f>18347.3+293392.92</f>
        <v>311740.21999999997</v>
      </c>
      <c r="V56" s="2">
        <f>142806.04</f>
        <v>142806.04</v>
      </c>
      <c r="W56" s="2">
        <f>175124.05+248350.04</f>
        <v>423474.08999999997</v>
      </c>
      <c r="X56" s="2">
        <v>142806.04</v>
      </c>
      <c r="Y56" s="2">
        <v>99147.76</v>
      </c>
      <c r="Z56" s="2"/>
      <c r="AA56" s="16">
        <f>23731.53+27555.65</f>
        <v>51287.18</v>
      </c>
      <c r="AB56" s="16"/>
      <c r="AC56" s="16">
        <f>36698.81+43106.43</f>
        <v>79805.239999999991</v>
      </c>
      <c r="AD56" s="16"/>
      <c r="AE56" s="23">
        <f>AF56+16412.78</f>
        <v>238760.13999999998</v>
      </c>
      <c r="AF56" s="23">
        <f>104792.76+117554.6</f>
        <v>222347.36</v>
      </c>
      <c r="AG56" s="13"/>
      <c r="AH56" s="23"/>
      <c r="AI56" s="16">
        <f>54159.74+22819.27+80774.94</f>
        <v>157753.95000000001</v>
      </c>
      <c r="AJ56" s="29">
        <f>54159.74+22819.27</f>
        <v>76979.009999999995</v>
      </c>
      <c r="AK56" s="16"/>
      <c r="AL56" s="16"/>
      <c r="AM56" s="16">
        <f>81736.89+12400+217241.88+38933.31</f>
        <v>350312.08</v>
      </c>
      <c r="AN56" s="16">
        <f>81736.89+217241.88</f>
        <v>298978.77</v>
      </c>
      <c r="AO56" s="16"/>
      <c r="AP56" s="16"/>
      <c r="AQ56" s="24"/>
      <c r="AR56" s="24"/>
    </row>
    <row r="57" spans="1:44" ht="14.25" customHeight="1" x14ac:dyDescent="0.25">
      <c r="A57" s="109" t="s">
        <v>8</v>
      </c>
      <c r="B57" s="110"/>
      <c r="C57" s="2"/>
      <c r="D57" s="2"/>
      <c r="E57" s="2"/>
      <c r="F57" s="2"/>
      <c r="G57" s="2">
        <f>1280106.96+331142.71</f>
        <v>1611249.67</v>
      </c>
      <c r="H57" s="2"/>
      <c r="I57" s="2">
        <f>1112706.33+292125.54</f>
        <v>1404831.87</v>
      </c>
      <c r="J57" s="2"/>
      <c r="K57" s="2">
        <f>1664826.89+424726.47</f>
        <v>2089553.3599999999</v>
      </c>
      <c r="L57" s="2"/>
      <c r="M57" s="2">
        <v>1291836.76</v>
      </c>
      <c r="N57" s="2"/>
      <c r="O57" s="2">
        <f>336869.12+1006180.12</f>
        <v>1343049.24</v>
      </c>
      <c r="P57" s="2"/>
      <c r="Q57" s="2">
        <f>290310.2+1054801</f>
        <v>1345111.2</v>
      </c>
      <c r="R57" s="2"/>
      <c r="S57" s="2">
        <f>210412.6+1031728.18</f>
        <v>1242140.78</v>
      </c>
      <c r="T57" s="2"/>
      <c r="U57" s="2">
        <f>144677.62+1051908.03</f>
        <v>1196585.6499999999</v>
      </c>
      <c r="V57" s="2"/>
      <c r="W57" s="2">
        <f>257630.31+1025805.39</f>
        <v>1283435.7</v>
      </c>
      <c r="X57" s="2"/>
      <c r="Y57" s="2"/>
      <c r="Z57" s="2"/>
      <c r="AA57" s="16">
        <f>367554.1+1092399.95</f>
        <v>1459954.0499999998</v>
      </c>
      <c r="AB57" s="16"/>
      <c r="AC57" s="16">
        <f>413160.07+976030.95</f>
        <v>1389191.02</v>
      </c>
      <c r="AD57" s="16"/>
      <c r="AE57" s="23">
        <f>AF57+20410</f>
        <v>1483828.69</v>
      </c>
      <c r="AF57" s="23">
        <f>399447.7+1063970.99</f>
        <v>1463418.69</v>
      </c>
      <c r="AG57" s="13"/>
      <c r="AH57" s="23"/>
      <c r="AI57" s="16">
        <f>399497.7+11131.38+1854102.36</f>
        <v>2264731.44</v>
      </c>
      <c r="AJ57" s="16">
        <f>399497.7+1854102.36</f>
        <v>2253600.06</v>
      </c>
      <c r="AK57" s="16"/>
      <c r="AL57" s="16"/>
      <c r="AM57" s="16">
        <f>503617.08+18694+2523323.5</f>
        <v>3045634.58</v>
      </c>
      <c r="AN57" s="16">
        <f>503617.08+2523323.5</f>
        <v>3026940.58</v>
      </c>
      <c r="AO57" s="16"/>
      <c r="AP57" s="16"/>
      <c r="AQ57" s="24"/>
      <c r="AR57" s="24"/>
    </row>
    <row r="58" spans="1:44" ht="30.75" customHeight="1" x14ac:dyDescent="0.25">
      <c r="A58" s="109" t="s">
        <v>9</v>
      </c>
      <c r="B58" s="110"/>
      <c r="C58" s="2"/>
      <c r="D58" s="2"/>
      <c r="E58" s="2"/>
      <c r="F58" s="2"/>
      <c r="G58" s="2">
        <f>191330.96+483962.51</f>
        <v>675293.47</v>
      </c>
      <c r="H58" s="2"/>
      <c r="I58" s="2">
        <f>171605.74+559066.92</f>
        <v>730672.66</v>
      </c>
      <c r="J58" s="2"/>
      <c r="K58" s="2">
        <f>209944.24+697945.82</f>
        <v>907890.05999999994</v>
      </c>
      <c r="L58" s="2"/>
      <c r="M58" s="2">
        <v>596611.02</v>
      </c>
      <c r="N58" s="2"/>
      <c r="O58" s="2">
        <f>198862.88+580042.1</f>
        <v>778904.98</v>
      </c>
      <c r="P58" s="2"/>
      <c r="Q58" s="2">
        <f>612669.18+219338.18</f>
        <v>832007.3600000001</v>
      </c>
      <c r="R58" s="2"/>
      <c r="S58" s="2">
        <f>201317.46+630998.38</f>
        <v>832315.84</v>
      </c>
      <c r="T58" s="2"/>
      <c r="U58" s="2">
        <f>184341.93+601701.1</f>
        <v>786043.03</v>
      </c>
      <c r="V58" s="2"/>
      <c r="W58" s="2">
        <f>177715.19+604861.18</f>
        <v>782576.37000000011</v>
      </c>
      <c r="X58" s="2"/>
      <c r="Y58" s="2">
        <v>-9193.7999999999993</v>
      </c>
      <c r="Z58" s="2"/>
      <c r="AA58" s="16">
        <f>254861.86+627161.14</f>
        <v>882023</v>
      </c>
      <c r="AB58" s="16"/>
      <c r="AC58" s="16">
        <f>363441.69+1320113.41</f>
        <v>1683555.0999999999</v>
      </c>
      <c r="AD58" s="16">
        <f>20923.56+643955.03</f>
        <v>664878.59000000008</v>
      </c>
      <c r="AE58" s="23">
        <f>AF58+9183.82</f>
        <v>2863942.15</v>
      </c>
      <c r="AF58" s="23">
        <f>469042.19+2385716.14</f>
        <v>2854758.33</v>
      </c>
      <c r="AG58" s="23">
        <v>1220473.1200000001</v>
      </c>
      <c r="AH58" s="23">
        <f>147655.46+1072817.66</f>
        <v>1220473.1199999999</v>
      </c>
      <c r="AI58" s="16">
        <f>283794.68+8867.96+960334.11</f>
        <v>1252996.75</v>
      </c>
      <c r="AJ58" s="16">
        <f>283794.68+960334.11</f>
        <v>1244128.79</v>
      </c>
      <c r="AK58" s="16"/>
      <c r="AL58" s="16"/>
      <c r="AM58" s="16">
        <f>309642.46+8650.49+1431460.75</f>
        <v>1749753.7</v>
      </c>
      <c r="AN58" s="16">
        <f>309642.46+1431460.75</f>
        <v>1741103.21</v>
      </c>
      <c r="AO58" s="16"/>
      <c r="AP58" s="16"/>
      <c r="AQ58" s="24"/>
      <c r="AR58" s="24"/>
    </row>
    <row r="59" spans="1:44" x14ac:dyDescent="0.25">
      <c r="A59" s="109" t="s">
        <v>10</v>
      </c>
      <c r="B59" s="1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218898</f>
        <v>218898</v>
      </c>
      <c r="P59" s="2"/>
      <c r="Q59" s="2">
        <v>206882</v>
      </c>
      <c r="R59" s="2"/>
      <c r="S59" s="2">
        <v>165360</v>
      </c>
      <c r="T59" s="2"/>
      <c r="U59" s="2">
        <v>188686.65</v>
      </c>
      <c r="V59" s="2"/>
      <c r="W59" s="2">
        <f>191073</f>
        <v>191073</v>
      </c>
      <c r="X59" s="2"/>
      <c r="Y59" s="2">
        <v>-12759</v>
      </c>
      <c r="Z59" s="2"/>
      <c r="AA59" s="16"/>
      <c r="AB59" s="16"/>
      <c r="AC59" s="16"/>
      <c r="AD59" s="16"/>
      <c r="AE59" s="23">
        <f>AF59+1115</f>
        <v>94671.360000000001</v>
      </c>
      <c r="AF59" s="23">
        <v>93556.36</v>
      </c>
      <c r="AG59" s="23"/>
      <c r="AH59" s="23"/>
      <c r="AI59" s="16">
        <f>92285.57+477</f>
        <v>92762.57</v>
      </c>
      <c r="AJ59" s="16">
        <v>92285.57</v>
      </c>
      <c r="AK59" s="16"/>
      <c r="AL59" s="16"/>
      <c r="AM59" s="16">
        <v>0</v>
      </c>
      <c r="AN59" s="16">
        <v>0</v>
      </c>
      <c r="AO59" s="16"/>
      <c r="AP59" s="16"/>
      <c r="AQ59" s="24"/>
      <c r="AR59" s="24"/>
    </row>
    <row r="60" spans="1:44" ht="27.75" customHeight="1" x14ac:dyDescent="0.25">
      <c r="A60" s="109" t="s">
        <v>16</v>
      </c>
      <c r="B60" s="1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2683.17</v>
      </c>
      <c r="Z60" s="2"/>
      <c r="AA60" s="16">
        <v>199342.7</v>
      </c>
      <c r="AB60" s="16"/>
      <c r="AC60" s="16">
        <f>1258375.62</f>
        <v>1258375.6200000001</v>
      </c>
      <c r="AD60" s="16">
        <v>844102</v>
      </c>
      <c r="AE60" s="23">
        <f>AF60</f>
        <v>1362588.5</v>
      </c>
      <c r="AF60" s="23">
        <v>1362588.5</v>
      </c>
      <c r="AG60" s="23">
        <v>660120.76</v>
      </c>
      <c r="AH60" s="23">
        <v>660120.76</v>
      </c>
      <c r="AI60" s="16">
        <f>633441.77</f>
        <v>633441.77</v>
      </c>
      <c r="AJ60" s="16">
        <v>633441.77</v>
      </c>
      <c r="AK60" s="16"/>
      <c r="AL60" s="16"/>
      <c r="AM60" s="16">
        <v>543497.98</v>
      </c>
      <c r="AN60" s="16">
        <v>543497.98</v>
      </c>
      <c r="AO60" s="16"/>
      <c r="AP60" s="16"/>
      <c r="AQ60" s="24"/>
      <c r="AR60" s="24"/>
    </row>
    <row r="61" spans="1:44" x14ac:dyDescent="0.25">
      <c r="A61" s="111" t="s">
        <v>17</v>
      </c>
      <c r="B61" s="112"/>
      <c r="C61" s="115">
        <v>10765845.27</v>
      </c>
      <c r="D61" s="115">
        <v>7171240.7400000002</v>
      </c>
      <c r="E61" s="115">
        <f>SUM(E63:E67)</f>
        <v>13066265.32</v>
      </c>
      <c r="F61" s="115">
        <f>SUM(F63:F67)</f>
        <v>9363054.25</v>
      </c>
      <c r="G61" s="115">
        <f t="shared" ref="G61:AC61" si="12">SUM(G63:G67)</f>
        <v>12452961.670000002</v>
      </c>
      <c r="H61" s="115">
        <f t="shared" si="12"/>
        <v>10697359.270000001</v>
      </c>
      <c r="I61" s="115">
        <f t="shared" si="12"/>
        <v>10509503.82</v>
      </c>
      <c r="J61" s="115">
        <f t="shared" si="12"/>
        <v>9311032.910000002</v>
      </c>
      <c r="K61" s="115">
        <f t="shared" si="12"/>
        <v>9816963.7700000014</v>
      </c>
      <c r="L61" s="115">
        <f t="shared" si="12"/>
        <v>9514146.0000000019</v>
      </c>
      <c r="M61" s="115">
        <f t="shared" si="12"/>
        <v>10491903.119999999</v>
      </c>
      <c r="N61" s="115">
        <f t="shared" si="12"/>
        <v>10223094.629999999</v>
      </c>
      <c r="O61" s="115">
        <f t="shared" si="12"/>
        <v>11041075.82</v>
      </c>
      <c r="P61" s="115">
        <f t="shared" si="12"/>
        <v>9852688.540000001</v>
      </c>
      <c r="Q61" s="115">
        <f t="shared" si="12"/>
        <v>11491967.560000001</v>
      </c>
      <c r="R61" s="115">
        <f t="shared" si="12"/>
        <v>9865070.0600000005</v>
      </c>
      <c r="S61" s="115">
        <f t="shared" si="12"/>
        <v>12060303.5</v>
      </c>
      <c r="T61" s="115">
        <f t="shared" si="12"/>
        <v>10862190.040000001</v>
      </c>
      <c r="U61" s="115">
        <f t="shared" si="12"/>
        <v>11619250.300000001</v>
      </c>
      <c r="V61" s="115">
        <f t="shared" si="12"/>
        <v>9816511.040000001</v>
      </c>
      <c r="W61" s="115">
        <f t="shared" si="12"/>
        <v>11514591.1</v>
      </c>
      <c r="X61" s="115">
        <f t="shared" si="12"/>
        <v>10293165.02</v>
      </c>
      <c r="Y61" s="115">
        <f t="shared" si="12"/>
        <v>14972637.870000001</v>
      </c>
      <c r="Z61" s="115">
        <f t="shared" si="12"/>
        <v>11006589.689999999</v>
      </c>
      <c r="AA61" s="128">
        <f t="shared" si="12"/>
        <v>11434380.700000001</v>
      </c>
      <c r="AB61" s="128">
        <f t="shared" si="12"/>
        <v>1118646.56</v>
      </c>
      <c r="AC61" s="128">
        <f t="shared" si="12"/>
        <v>20378851.969999999</v>
      </c>
      <c r="AD61" s="128">
        <f t="shared" ref="AD61:AK61" si="13">AD63+AD64+AD65+AD66+AD67</f>
        <v>6845671.4899999993</v>
      </c>
      <c r="AE61" s="126">
        <f t="shared" si="13"/>
        <v>21821924</v>
      </c>
      <c r="AF61" s="126">
        <f t="shared" si="13"/>
        <v>1624721</v>
      </c>
      <c r="AG61" s="126">
        <f t="shared" si="13"/>
        <v>8640587.1999999993</v>
      </c>
      <c r="AH61" s="126">
        <f t="shared" si="13"/>
        <v>0</v>
      </c>
      <c r="AI61" s="122">
        <f t="shared" si="13"/>
        <v>16329235.25</v>
      </c>
      <c r="AJ61" s="122">
        <v>0</v>
      </c>
      <c r="AK61" s="122">
        <f t="shared" si="13"/>
        <v>5018242.82</v>
      </c>
      <c r="AL61" s="122">
        <v>0</v>
      </c>
      <c r="AM61" s="122">
        <f>AM63+AM64+AM65+AM66+AM67</f>
        <v>12625725.370000001</v>
      </c>
      <c r="AN61" s="122">
        <f>AN63+AN64+AN65+AN66+AN67</f>
        <v>0</v>
      </c>
      <c r="AO61" s="122">
        <f>AO63+AO64+AO65+AO66+AO67</f>
        <v>3413239</v>
      </c>
      <c r="AP61" s="122">
        <f>AP63+AP64+AP65+AP66+AP67</f>
        <v>0</v>
      </c>
      <c r="AQ61" s="116">
        <f>AM61/AI61-1</f>
        <v>-0.22680240827567222</v>
      </c>
      <c r="AR61" s="116">
        <f>AO61/AK61-1</f>
        <v>-0.31983382980260011</v>
      </c>
    </row>
    <row r="62" spans="1:44" x14ac:dyDescent="0.25">
      <c r="A62" s="113"/>
      <c r="B62" s="11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25"/>
      <c r="AB62" s="125"/>
      <c r="AC62" s="125"/>
      <c r="AD62" s="125"/>
      <c r="AE62" s="127"/>
      <c r="AF62" s="127"/>
      <c r="AG62" s="127"/>
      <c r="AH62" s="127"/>
      <c r="AI62" s="123"/>
      <c r="AJ62" s="123"/>
      <c r="AK62" s="123"/>
      <c r="AL62" s="123"/>
      <c r="AM62" s="123"/>
      <c r="AN62" s="123"/>
      <c r="AO62" s="123"/>
      <c r="AP62" s="123"/>
      <c r="AQ62" s="117"/>
      <c r="AR62" s="117"/>
    </row>
    <row r="63" spans="1:44" ht="42" customHeight="1" x14ac:dyDescent="0.25">
      <c r="A63" s="109" t="s">
        <v>11</v>
      </c>
      <c r="B63" s="110"/>
      <c r="C63" s="2"/>
      <c r="D63" s="2"/>
      <c r="E63" s="2">
        <v>1445875.56</v>
      </c>
      <c r="F63" s="2">
        <v>504057.32</v>
      </c>
      <c r="G63" s="2">
        <f>15780.83+1401592.32</f>
        <v>1417373.1500000001</v>
      </c>
      <c r="H63" s="2">
        <f>497307.75</f>
        <v>497307.75</v>
      </c>
      <c r="I63" s="2">
        <f>14359.15+1094634.15</f>
        <v>1108993.2999999998</v>
      </c>
      <c r="J63" s="2">
        <v>581610.39</v>
      </c>
      <c r="K63" s="2">
        <f>45290.3+812014.95</f>
        <v>857305.25</v>
      </c>
      <c r="L63" s="2">
        <v>554487.48</v>
      </c>
      <c r="M63" s="2">
        <f>22392+828113.09</f>
        <v>850505.09</v>
      </c>
      <c r="N63" s="2">
        <f>581696.6</f>
        <v>581696.6</v>
      </c>
      <c r="O63" s="2">
        <f>24207.15+1590490.12</f>
        <v>1614697.27</v>
      </c>
      <c r="P63" s="2">
        <f>484794.48</f>
        <v>484794.48</v>
      </c>
      <c r="Q63" s="2">
        <v>1906086.62</v>
      </c>
      <c r="R63" s="2"/>
      <c r="S63" s="2">
        <f>23600.15+1705289.54</f>
        <v>1728889.69</v>
      </c>
      <c r="T63" s="2">
        <v>530776.23</v>
      </c>
      <c r="U63" s="2">
        <f>2268996.34+30919.15</f>
        <v>2299915.4899999998</v>
      </c>
      <c r="V63" s="2">
        <v>497176.23</v>
      </c>
      <c r="W63" s="2">
        <f>2127960.81+48959.2</f>
        <v>2176920.0100000002</v>
      </c>
      <c r="X63" s="2">
        <v>955493.93</v>
      </c>
      <c r="Y63" s="2">
        <v>2219644.2799999998</v>
      </c>
      <c r="Z63" s="2">
        <f>782752.86</f>
        <v>782752.86</v>
      </c>
      <c r="AA63" s="16">
        <f>25455.33+3676740.99</f>
        <v>3702196.3200000003</v>
      </c>
      <c r="AB63" s="16">
        <v>370926</v>
      </c>
      <c r="AC63" s="16">
        <f>25119.87+10218497.79</f>
        <v>10243617.659999998</v>
      </c>
      <c r="AD63" s="16">
        <v>3812324.48</v>
      </c>
      <c r="AE63" s="23">
        <f>92866+7505896.09</f>
        <v>7598762.0899999999</v>
      </c>
      <c r="AF63" s="23">
        <v>1624721</v>
      </c>
      <c r="AG63" s="23">
        <v>1546341.78</v>
      </c>
      <c r="AH63" s="13"/>
      <c r="AI63" s="16">
        <f>36469.87+5446750.25</f>
        <v>5483220.1200000001</v>
      </c>
      <c r="AJ63" s="33">
        <v>0</v>
      </c>
      <c r="AK63" s="16">
        <v>2700000</v>
      </c>
      <c r="AL63" s="16">
        <v>0</v>
      </c>
      <c r="AM63" s="16">
        <f>67180.69+4521060.5</f>
        <v>4588241.1900000004</v>
      </c>
      <c r="AN63" s="16"/>
      <c r="AO63" s="16">
        <v>2700000</v>
      </c>
      <c r="AP63" s="16"/>
      <c r="AQ63" s="24"/>
      <c r="AR63" s="24"/>
    </row>
    <row r="64" spans="1:44" x14ac:dyDescent="0.25">
      <c r="A64" s="109" t="s">
        <v>8</v>
      </c>
      <c r="B64" s="1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107414.79</v>
      </c>
      <c r="R64" s="2"/>
      <c r="S64" s="2"/>
      <c r="T64" s="2"/>
      <c r="U64" s="2"/>
      <c r="V64" s="2"/>
      <c r="W64" s="2"/>
      <c r="X64" s="2"/>
      <c r="Y64" s="2"/>
      <c r="Z64" s="2"/>
      <c r="AA64" s="16">
        <f>240366.78+3338386.23</f>
        <v>3578753.01</v>
      </c>
      <c r="AB64" s="16"/>
      <c r="AC64" s="16">
        <f>213303.85+3570475.36</f>
        <v>3783779.21</v>
      </c>
      <c r="AD64" s="16"/>
      <c r="AE64" s="23">
        <f>1048316.56+3892857.12</f>
        <v>4941173.68</v>
      </c>
      <c r="AF64" s="13"/>
      <c r="AG64" s="23"/>
      <c r="AH64" s="13"/>
      <c r="AI64" s="16">
        <f>1013379.37+4504888.09</f>
        <v>5518267.46</v>
      </c>
      <c r="AJ64" s="16"/>
      <c r="AK64" s="16"/>
      <c r="AL64" s="16"/>
      <c r="AM64" s="16">
        <f>1280479.43+3632530.75</f>
        <v>4913010.18</v>
      </c>
      <c r="AN64" s="16"/>
      <c r="AO64" s="16"/>
      <c r="AP64" s="16"/>
      <c r="AQ64" s="24"/>
      <c r="AR64" s="24"/>
    </row>
    <row r="65" spans="1:44" ht="29.25" customHeight="1" x14ac:dyDescent="0.25">
      <c r="A65" s="109" t="s">
        <v>9</v>
      </c>
      <c r="B65" s="110"/>
      <c r="C65" s="2"/>
      <c r="D65" s="2"/>
      <c r="E65" s="2">
        <v>1463841.51</v>
      </c>
      <c r="F65" s="2"/>
      <c r="G65" s="2">
        <v>166700</v>
      </c>
      <c r="H65" s="2"/>
      <c r="I65" s="2"/>
      <c r="J65" s="2"/>
      <c r="K65" s="2"/>
      <c r="L65" s="2"/>
      <c r="M65" s="2"/>
      <c r="N65" s="2"/>
      <c r="O65" s="2">
        <v>27151.16</v>
      </c>
      <c r="P65" s="2"/>
      <c r="Q65" s="2">
        <v>78572.100000000006</v>
      </c>
      <c r="R65" s="2"/>
      <c r="S65" s="2"/>
      <c r="T65" s="2"/>
      <c r="U65" s="2"/>
      <c r="V65" s="2"/>
      <c r="W65" s="2"/>
      <c r="X65" s="2"/>
      <c r="Y65" s="2">
        <v>1439851.12</v>
      </c>
      <c r="Z65" s="2"/>
      <c r="AA65" s="16">
        <f>182858.49+1828141.64</f>
        <v>2011000.13</v>
      </c>
      <c r="AB65" s="16"/>
      <c r="AC65" s="16">
        <f>194574.38+2050743.86</f>
        <v>2245318.2400000002</v>
      </c>
      <c r="AD65" s="16"/>
      <c r="AE65" s="23">
        <f>763510.32+2959710.97+0.85</f>
        <v>3723222.14</v>
      </c>
      <c r="AF65" s="13"/>
      <c r="AG65" s="23">
        <f>317932.16+1222488.09</f>
        <v>1540420.25</v>
      </c>
      <c r="AH65" s="13"/>
      <c r="AI65" s="16">
        <f>840855.82+2166721.03</f>
        <v>3007576.8499999996</v>
      </c>
      <c r="AJ65" s="16"/>
      <c r="AK65" s="16"/>
      <c r="AL65" s="16"/>
      <c r="AM65" s="16">
        <f>529987.77+1881247.23</f>
        <v>2411235</v>
      </c>
      <c r="AN65" s="16"/>
      <c r="AO65" s="16"/>
      <c r="AP65" s="16"/>
      <c r="AQ65" s="24"/>
      <c r="AR65" s="24"/>
    </row>
    <row r="66" spans="1:44" x14ac:dyDescent="0.25">
      <c r="A66" s="109" t="s">
        <v>10</v>
      </c>
      <c r="B66" s="110"/>
      <c r="C66" s="2"/>
      <c r="D66" s="2"/>
      <c r="E66" s="2">
        <v>10156548.25</v>
      </c>
      <c r="F66" s="2">
        <v>8858996.9299999997</v>
      </c>
      <c r="G66" s="2">
        <f>317.3+10868571.22</f>
        <v>10868888.520000001</v>
      </c>
      <c r="H66" s="2">
        <f>10199734.22+317.3</f>
        <v>10200051.520000001</v>
      </c>
      <c r="I66" s="2">
        <f>317.3+9400193.22</f>
        <v>9400510.5200000014</v>
      </c>
      <c r="J66" s="2">
        <f>317.3+8729105.22</f>
        <v>8729422.5200000014</v>
      </c>
      <c r="K66" s="2">
        <f>317.3+8959341.22</f>
        <v>8959658.5200000014</v>
      </c>
      <c r="L66" s="2">
        <f>317.3+8959341.22</f>
        <v>8959658.5200000014</v>
      </c>
      <c r="M66" s="2">
        <v>9641398.0299999993</v>
      </c>
      <c r="N66" s="2">
        <v>9641398.0299999993</v>
      </c>
      <c r="O66" s="2">
        <f>9367894.06</f>
        <v>9367894.0600000005</v>
      </c>
      <c r="P66" s="2">
        <f>9367894.06</f>
        <v>9367894.0600000005</v>
      </c>
      <c r="Q66" s="2">
        <f>9367894.06</f>
        <v>9367894.0600000005</v>
      </c>
      <c r="R66" s="2">
        <v>9865070.0600000005</v>
      </c>
      <c r="S66" s="2">
        <v>10331413.810000001</v>
      </c>
      <c r="T66" s="2">
        <v>10331413.810000001</v>
      </c>
      <c r="U66" s="2">
        <v>9319334.8100000005</v>
      </c>
      <c r="V66" s="2">
        <v>9319334.8100000005</v>
      </c>
      <c r="W66" s="2">
        <f>9337671.09</f>
        <v>9337671.0899999999</v>
      </c>
      <c r="X66" s="2">
        <v>9337671.0899999999</v>
      </c>
      <c r="Y66" s="2">
        <v>11178667.26</v>
      </c>
      <c r="Z66" s="2">
        <v>10089361.619999999</v>
      </c>
      <c r="AA66" s="16">
        <f>41557.97+1353152.71</f>
        <v>1394710.68</v>
      </c>
      <c r="AB66" s="16"/>
      <c r="AC66" s="16">
        <f>79834.83+2444326.98</f>
        <v>2524161.81</v>
      </c>
      <c r="AD66" s="16">
        <v>1451371.96</v>
      </c>
      <c r="AE66" s="23">
        <f>15039+567180.92</f>
        <v>582219.92000000004</v>
      </c>
      <c r="AF66" s="13"/>
      <c r="AG66" s="23">
        <f>15039+562240</f>
        <v>577279</v>
      </c>
      <c r="AH66" s="13"/>
      <c r="AI66" s="16">
        <v>497002</v>
      </c>
      <c r="AJ66" s="16"/>
      <c r="AK66" s="16">
        <v>495074</v>
      </c>
      <c r="AL66" s="16"/>
      <c r="AM66" s="16">
        <v>713239</v>
      </c>
      <c r="AN66" s="16"/>
      <c r="AO66" s="16">
        <v>713239</v>
      </c>
      <c r="AP66" s="16"/>
      <c r="AQ66" s="24"/>
      <c r="AR66" s="24"/>
    </row>
    <row r="67" spans="1:44" ht="27.75" customHeight="1" x14ac:dyDescent="0.25">
      <c r="A67" s="109" t="s">
        <v>16</v>
      </c>
      <c r="B67" s="1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31333.33</v>
      </c>
      <c r="P67" s="2"/>
      <c r="Q67" s="2">
        <v>31999.99</v>
      </c>
      <c r="R67" s="2"/>
      <c r="S67" s="2"/>
      <c r="T67" s="2"/>
      <c r="U67" s="2"/>
      <c r="V67" s="2"/>
      <c r="W67" s="2"/>
      <c r="X67" s="2"/>
      <c r="Y67" s="2">
        <v>134475.21</v>
      </c>
      <c r="Z67" s="2">
        <v>134475.21</v>
      </c>
      <c r="AA67" s="16">
        <v>747720.56</v>
      </c>
      <c r="AB67" s="16">
        <v>747720.56</v>
      </c>
      <c r="AC67" s="16">
        <v>1581975.05</v>
      </c>
      <c r="AD67" s="16">
        <v>1581975.05</v>
      </c>
      <c r="AE67" s="23">
        <v>4976546.17</v>
      </c>
      <c r="AF67" s="13"/>
      <c r="AG67" s="23">
        <v>4976546.17</v>
      </c>
      <c r="AH67" s="13"/>
      <c r="AI67" s="16">
        <v>1823168.82</v>
      </c>
      <c r="AJ67" s="16"/>
      <c r="AK67" s="16">
        <v>1823168.82</v>
      </c>
      <c r="AL67" s="16"/>
      <c r="AM67" s="16"/>
      <c r="AN67" s="16"/>
      <c r="AO67" s="16"/>
      <c r="AP67" s="16"/>
      <c r="AQ67" s="24"/>
      <c r="AR67" s="24"/>
    </row>
    <row r="68" spans="1:44" hidden="1" x14ac:dyDescent="0.25">
      <c r="A68" s="111" t="s">
        <v>4</v>
      </c>
      <c r="B68" s="112"/>
      <c r="C68" s="115">
        <v>654159.29</v>
      </c>
      <c r="D68" s="115">
        <f>SUM(D70:D74)</f>
        <v>0</v>
      </c>
      <c r="E68" s="115">
        <f t="shared" ref="E68:Z68" si="14">SUM(E70:E74)</f>
        <v>159427.71</v>
      </c>
      <c r="F68" s="115">
        <f t="shared" si="14"/>
        <v>156150</v>
      </c>
      <c r="G68" s="115">
        <f t="shared" si="14"/>
        <v>166323.26</v>
      </c>
      <c r="H68" s="115">
        <f t="shared" si="14"/>
        <v>156150</v>
      </c>
      <c r="I68" s="115">
        <f t="shared" si="14"/>
        <v>158187.54</v>
      </c>
      <c r="J68" s="115">
        <f t="shared" si="14"/>
        <v>156150</v>
      </c>
      <c r="K68" s="115">
        <f t="shared" si="14"/>
        <v>157389.10999999999</v>
      </c>
      <c r="L68" s="115">
        <f t="shared" si="14"/>
        <v>156150</v>
      </c>
      <c r="M68" s="115">
        <f t="shared" si="14"/>
        <v>162310.56</v>
      </c>
      <c r="N68" s="115">
        <f t="shared" si="14"/>
        <v>156150</v>
      </c>
      <c r="O68" s="115">
        <f t="shared" si="14"/>
        <v>158206.72</v>
      </c>
      <c r="P68" s="115">
        <f t="shared" si="14"/>
        <v>156150</v>
      </c>
      <c r="Q68" s="115">
        <f t="shared" si="14"/>
        <v>162910.32999999999</v>
      </c>
      <c r="R68" s="115">
        <f t="shared" si="14"/>
        <v>156150</v>
      </c>
      <c r="S68" s="115">
        <f t="shared" si="14"/>
        <v>159608.60999999999</v>
      </c>
      <c r="T68" s="115">
        <f t="shared" si="14"/>
        <v>156150</v>
      </c>
      <c r="U68" s="115">
        <f t="shared" si="14"/>
        <v>157986.35</v>
      </c>
      <c r="V68" s="115">
        <f t="shared" si="14"/>
        <v>156150</v>
      </c>
      <c r="W68" s="115">
        <f t="shared" si="14"/>
        <v>159926.9</v>
      </c>
      <c r="X68" s="115">
        <f t="shared" si="14"/>
        <v>156150</v>
      </c>
      <c r="Y68" s="115">
        <f t="shared" si="14"/>
        <v>0</v>
      </c>
      <c r="Z68" s="115">
        <f t="shared" si="14"/>
        <v>0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129">
        <f>Y68/E68-1</f>
        <v>-1</v>
      </c>
      <c r="AR68" s="129">
        <f>Z68/F68-1</f>
        <v>-1</v>
      </c>
    </row>
    <row r="69" spans="1:44" hidden="1" x14ac:dyDescent="0.25">
      <c r="A69" s="113"/>
      <c r="B69" s="11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130"/>
      <c r="AR69" s="130"/>
    </row>
    <row r="70" spans="1:44" hidden="1" x14ac:dyDescent="0.25">
      <c r="A70" s="109" t="s">
        <v>11</v>
      </c>
      <c r="B70" s="110"/>
      <c r="C70" s="2"/>
      <c r="D70" s="2"/>
      <c r="E70" s="2">
        <v>2936.71</v>
      </c>
      <c r="F70" s="2"/>
      <c r="G70" s="2">
        <v>10173.26</v>
      </c>
      <c r="H70" s="2"/>
      <c r="I70" s="2">
        <v>2037.54</v>
      </c>
      <c r="J70" s="2"/>
      <c r="K70" s="2">
        <v>1239.1099999999999</v>
      </c>
      <c r="L70" s="2"/>
      <c r="M70" s="2">
        <v>6160.56</v>
      </c>
      <c r="N70" s="2"/>
      <c r="O70" s="2">
        <v>2056.7199999999998</v>
      </c>
      <c r="P70" s="2"/>
      <c r="Q70" s="2">
        <v>4968.33</v>
      </c>
      <c r="R70" s="2"/>
      <c r="S70" s="2">
        <v>3458.61</v>
      </c>
      <c r="T70" s="2"/>
      <c r="U70" s="2">
        <v>1836.35</v>
      </c>
      <c r="V70" s="2"/>
      <c r="W70" s="2">
        <v>3776.9</v>
      </c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idden="1" x14ac:dyDescent="0.25">
      <c r="A71" s="109" t="s">
        <v>8</v>
      </c>
      <c r="B71" s="1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1"/>
      <c r="AR71" s="31"/>
    </row>
    <row r="72" spans="1:44" hidden="1" x14ac:dyDescent="0.25">
      <c r="A72" s="109" t="s">
        <v>9</v>
      </c>
      <c r="B72" s="110"/>
      <c r="C72" s="2"/>
      <c r="D72" s="2"/>
      <c r="E72" s="2">
        <v>-10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1"/>
      <c r="AR72" s="31"/>
    </row>
    <row r="73" spans="1:44" hidden="1" x14ac:dyDescent="0.25">
      <c r="A73" s="109" t="s">
        <v>10</v>
      </c>
      <c r="B73" s="110"/>
      <c r="C73" s="2"/>
      <c r="D73" s="2"/>
      <c r="E73" s="2">
        <v>351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1792</v>
      </c>
      <c r="R73" s="2"/>
      <c r="S73" s="2"/>
      <c r="T73" s="2"/>
      <c r="U73" s="2"/>
      <c r="V73" s="2"/>
      <c r="W73" s="2"/>
      <c r="X73" s="2"/>
      <c r="Y73" s="2"/>
      <c r="Z73" s="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1"/>
      <c r="AR73" s="31"/>
    </row>
    <row r="74" spans="1:44" hidden="1" x14ac:dyDescent="0.25">
      <c r="A74" s="109" t="s">
        <v>16</v>
      </c>
      <c r="B74" s="110"/>
      <c r="C74" s="2"/>
      <c r="D74" s="2"/>
      <c r="E74" s="2">
        <v>156150</v>
      </c>
      <c r="F74" s="2">
        <v>156150</v>
      </c>
      <c r="G74" s="2">
        <v>156150</v>
      </c>
      <c r="H74" s="2">
        <v>156150</v>
      </c>
      <c r="I74" s="2">
        <v>156150</v>
      </c>
      <c r="J74" s="2">
        <v>156150</v>
      </c>
      <c r="K74" s="2">
        <v>156150</v>
      </c>
      <c r="L74" s="2">
        <v>156150</v>
      </c>
      <c r="M74" s="2">
        <v>156150</v>
      </c>
      <c r="N74" s="2">
        <v>156150</v>
      </c>
      <c r="O74" s="2">
        <v>156150</v>
      </c>
      <c r="P74" s="2">
        <v>156150</v>
      </c>
      <c r="Q74" s="2">
        <v>156150</v>
      </c>
      <c r="R74" s="2">
        <v>156150</v>
      </c>
      <c r="S74" s="2">
        <v>156150</v>
      </c>
      <c r="T74" s="2">
        <v>156150</v>
      </c>
      <c r="U74" s="2">
        <v>156150</v>
      </c>
      <c r="V74" s="2">
        <v>156150</v>
      </c>
      <c r="W74" s="2">
        <v>156150</v>
      </c>
      <c r="X74" s="2">
        <v>156150</v>
      </c>
      <c r="Y74" s="2">
        <v>0</v>
      </c>
      <c r="Z74" s="2">
        <v>0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11" t="s">
        <v>18</v>
      </c>
      <c r="B75" s="112"/>
      <c r="C75" s="107">
        <v>10829169.880000001</v>
      </c>
      <c r="D75" s="107">
        <f>1640975.89+2975186.97+988391.8</f>
        <v>5604554.6600000001</v>
      </c>
      <c r="E75" s="107">
        <f>SUM(E77:E81)</f>
        <v>6197764.7700000005</v>
      </c>
      <c r="F75" s="107">
        <f>SUM(F77:F81)</f>
        <v>3749667.49</v>
      </c>
      <c r="G75" s="107">
        <f t="shared" ref="G75:AD75" si="15">SUM(G77:G81)</f>
        <v>6852948.2799999993</v>
      </c>
      <c r="H75" s="107">
        <f t="shared" si="15"/>
        <v>3749667.49</v>
      </c>
      <c r="I75" s="107">
        <f t="shared" si="15"/>
        <v>5929212.6499999994</v>
      </c>
      <c r="J75" s="107">
        <f t="shared" si="15"/>
        <v>2974471.0500000003</v>
      </c>
      <c r="K75" s="107">
        <f t="shared" si="15"/>
        <v>7559967.5599999996</v>
      </c>
      <c r="L75" s="107">
        <f t="shared" si="15"/>
        <v>2974471.0500000003</v>
      </c>
      <c r="M75" s="107">
        <f t="shared" si="15"/>
        <v>6930316.6799999997</v>
      </c>
      <c r="N75" s="107">
        <f t="shared" si="15"/>
        <v>4894294.6399999997</v>
      </c>
      <c r="O75" s="107">
        <f t="shared" si="15"/>
        <v>7219255.4799999995</v>
      </c>
      <c r="P75" s="107">
        <f t="shared" si="15"/>
        <v>4894294.6399999997</v>
      </c>
      <c r="Q75" s="107">
        <f t="shared" si="15"/>
        <v>9600917.8499999996</v>
      </c>
      <c r="R75" s="107">
        <f t="shared" si="15"/>
        <v>4651292.82</v>
      </c>
      <c r="S75" s="107">
        <f t="shared" si="15"/>
        <v>8525632.5199999996</v>
      </c>
      <c r="T75" s="107">
        <f t="shared" si="15"/>
        <v>4005766.16</v>
      </c>
      <c r="U75" s="107">
        <f t="shared" si="15"/>
        <v>10599393.380000001</v>
      </c>
      <c r="V75" s="107">
        <f t="shared" si="15"/>
        <v>1496363.55</v>
      </c>
      <c r="W75" s="107">
        <f t="shared" si="15"/>
        <v>20377243.73</v>
      </c>
      <c r="X75" s="107">
        <f t="shared" si="15"/>
        <v>1496363.55</v>
      </c>
      <c r="Y75" s="107">
        <f t="shared" si="15"/>
        <v>20412653.610000003</v>
      </c>
      <c r="Z75" s="107">
        <f t="shared" si="15"/>
        <v>13308419.82</v>
      </c>
      <c r="AA75" s="124">
        <f t="shared" si="15"/>
        <v>54055934.440000005</v>
      </c>
      <c r="AB75" s="124">
        <f t="shared" si="15"/>
        <v>17697811.539999999</v>
      </c>
      <c r="AC75" s="124">
        <f t="shared" si="15"/>
        <v>61418098.109999999</v>
      </c>
      <c r="AD75" s="124">
        <f t="shared" si="15"/>
        <v>39172056.890000001</v>
      </c>
      <c r="AE75" s="118">
        <f>AE77+AE78+AE79+AE80+AE81</f>
        <v>12238071.009999998</v>
      </c>
      <c r="AF75" s="118">
        <f>AF77+AF78+AF79+AF80+AF81</f>
        <v>4454905.63</v>
      </c>
      <c r="AG75" s="118">
        <f>AG77+AG78+AG79+AG80+AG81</f>
        <v>401041.57</v>
      </c>
      <c r="AH75" s="118">
        <f>AH77+AH78+AH79+AH80+AH81</f>
        <v>0</v>
      </c>
      <c r="AI75" s="120">
        <f>AI77+AI78+AI79+AI80+AI81</f>
        <v>75253.62</v>
      </c>
      <c r="AJ75" s="120">
        <v>0</v>
      </c>
      <c r="AK75" s="120">
        <v>0</v>
      </c>
      <c r="AL75" s="120">
        <v>0</v>
      </c>
      <c r="AM75" s="120">
        <f>AM77+AM78+AM79+AM80+AM81</f>
        <v>0</v>
      </c>
      <c r="AN75" s="120">
        <f>AN77+AN78+AN79+AN80+AN81</f>
        <v>0</v>
      </c>
      <c r="AO75" s="120">
        <f>AO77+AO78+AO79+AO80+AO81</f>
        <v>0</v>
      </c>
      <c r="AP75" s="120">
        <f>AP77+AP78+AP79+AP80+AP81</f>
        <v>0</v>
      </c>
      <c r="AQ75" s="116">
        <f>AM75/AI75-1</f>
        <v>-1</v>
      </c>
      <c r="AR75" s="116" t="e">
        <f>AO75/AK75-1</f>
        <v>#DIV/0!</v>
      </c>
    </row>
    <row r="76" spans="1:44" x14ac:dyDescent="0.25">
      <c r="A76" s="113"/>
      <c r="B76" s="11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25"/>
      <c r="AB76" s="125"/>
      <c r="AC76" s="125"/>
      <c r="AD76" s="125"/>
      <c r="AE76" s="119"/>
      <c r="AF76" s="119"/>
      <c r="AG76" s="119"/>
      <c r="AH76" s="119"/>
      <c r="AI76" s="121"/>
      <c r="AJ76" s="121"/>
      <c r="AK76" s="121"/>
      <c r="AL76" s="121"/>
      <c r="AM76" s="121"/>
      <c r="AN76" s="121"/>
      <c r="AO76" s="121"/>
      <c r="AP76" s="121"/>
      <c r="AQ76" s="117"/>
      <c r="AR76" s="117"/>
    </row>
    <row r="77" spans="1:44" ht="44.25" customHeight="1" x14ac:dyDescent="0.25">
      <c r="A77" s="109" t="s">
        <v>11</v>
      </c>
      <c r="B77" s="110"/>
      <c r="C77" s="1"/>
      <c r="D77" s="1"/>
      <c r="E77" s="1">
        <v>6195284.0800000001</v>
      </c>
      <c r="F77" s="1">
        <f>3363056.56+386610.93</f>
        <v>3749667.49</v>
      </c>
      <c r="G77" s="1">
        <f>2263909.36+4559378.25</f>
        <v>6823287.6099999994</v>
      </c>
      <c r="H77" s="1">
        <f>386610.93+3363056.56</f>
        <v>3749667.49</v>
      </c>
      <c r="I77" s="1">
        <f>1799893.76+4099496.79</f>
        <v>5899390.5499999998</v>
      </c>
      <c r="J77" s="1">
        <f>386610.93+2587860.12</f>
        <v>2974471.0500000003</v>
      </c>
      <c r="K77" s="1">
        <f>5416106.16+2141154.26+1386.18+1320.96</f>
        <v>7559967.5599999996</v>
      </c>
      <c r="L77" s="1">
        <f>2587860.12+386610.93</f>
        <v>2974471.0500000003</v>
      </c>
      <c r="M77" s="1">
        <v>6930316.6799999997</v>
      </c>
      <c r="N77" s="1">
        <v>4894294.6399999997</v>
      </c>
      <c r="O77" s="1">
        <f>1865798.47+5348998.75</f>
        <v>7214797.2199999997</v>
      </c>
      <c r="P77" s="1">
        <f>386610.93+4507683.71</f>
        <v>4894294.6399999997</v>
      </c>
      <c r="Q77" s="1">
        <v>9600917.8499999996</v>
      </c>
      <c r="R77" s="1">
        <v>4651292.82</v>
      </c>
      <c r="S77" s="1">
        <f>2951333.92+5555295.68+15251.76+3751.16</f>
        <v>8525632.5199999996</v>
      </c>
      <c r="T77" s="1">
        <f>3619155.23+386610.93</f>
        <v>4005766.16</v>
      </c>
      <c r="U77" s="1">
        <f>1992205.58+8591549.02+5323.15+10315.63</f>
        <v>10599393.380000001</v>
      </c>
      <c r="V77" s="1">
        <f>1109752.62+386610.93</f>
        <v>1496363.55</v>
      </c>
      <c r="W77" s="1">
        <f>10545735.23+9823125.67+3422.46+4960.37</f>
        <v>20377243.73</v>
      </c>
      <c r="X77" s="1">
        <f>386610.93+1109752.62</f>
        <v>1496363.55</v>
      </c>
      <c r="Y77" s="1">
        <v>20441640.960000001</v>
      </c>
      <c r="Z77" s="1">
        <v>13308419.82</v>
      </c>
      <c r="AA77" s="19">
        <f>33166250.55+116.03+20185020.65+10333.24-153588.27</f>
        <v>53208132.200000003</v>
      </c>
      <c r="AB77" s="19">
        <f>17535000.48+162811.06-153588.27</f>
        <v>17544223.27</v>
      </c>
      <c r="AC77" s="19">
        <f>44014737.97+19482.3+16465957.71</f>
        <v>60500177.979999997</v>
      </c>
      <c r="AD77" s="19">
        <f>29503554.98+9668501.91</f>
        <v>39172056.890000001</v>
      </c>
      <c r="AE77" s="28">
        <v>11770839.189999999</v>
      </c>
      <c r="AF77" s="28">
        <v>4454905.63</v>
      </c>
      <c r="AG77" s="28">
        <v>401041.57</v>
      </c>
      <c r="AH77" s="12"/>
      <c r="AI77" s="19">
        <v>75253.62</v>
      </c>
      <c r="AJ77" s="19">
        <v>0</v>
      </c>
      <c r="AK77" s="19">
        <v>0</v>
      </c>
      <c r="AL77" s="19"/>
      <c r="AM77" s="19"/>
      <c r="AN77" s="19"/>
      <c r="AO77" s="19"/>
      <c r="AP77" s="19"/>
      <c r="AQ77" s="34"/>
      <c r="AR77" s="34"/>
    </row>
    <row r="78" spans="1:44" x14ac:dyDescent="0.25">
      <c r="A78" s="109" t="s">
        <v>8</v>
      </c>
      <c r="B78" s="1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9">
        <f>174701.03+239873.77</f>
        <v>414574.8</v>
      </c>
      <c r="AB78" s="19"/>
      <c r="AC78" s="19">
        <f>340113.75+6309.58+298211.41</f>
        <v>644634.74</v>
      </c>
      <c r="AD78" s="19"/>
      <c r="AE78" s="28">
        <f>180975.63+90797+9669.95</f>
        <v>281442.58</v>
      </c>
      <c r="AF78" s="12"/>
      <c r="AG78" s="12"/>
      <c r="AH78" s="12"/>
      <c r="AI78" s="19"/>
      <c r="AJ78" s="19"/>
      <c r="AK78" s="19"/>
      <c r="AL78" s="19"/>
      <c r="AM78" s="19"/>
      <c r="AN78" s="19"/>
      <c r="AO78" s="19"/>
      <c r="AP78" s="19"/>
      <c r="AQ78" s="34"/>
      <c r="AR78" s="34"/>
    </row>
    <row r="79" spans="1:44" ht="30.75" customHeight="1" x14ac:dyDescent="0.25">
      <c r="A79" s="109" t="s">
        <v>9</v>
      </c>
      <c r="B79" s="110"/>
      <c r="C79" s="1"/>
      <c r="D79" s="1"/>
      <c r="E79" s="1"/>
      <c r="F79" s="1"/>
      <c r="G79" s="1">
        <v>-0.01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9">
        <v>150004.17000000001</v>
      </c>
      <c r="AB79" s="19"/>
      <c r="AC79" s="19">
        <f>218911.42+53273.97</f>
        <v>272185.39</v>
      </c>
      <c r="AD79" s="19"/>
      <c r="AE79" s="28">
        <v>185472.7</v>
      </c>
      <c r="AF79" s="12"/>
      <c r="AG79" s="12"/>
      <c r="AH79" s="12"/>
      <c r="AI79" s="19"/>
      <c r="AJ79" s="19"/>
      <c r="AK79" s="19"/>
      <c r="AL79" s="19"/>
      <c r="AM79" s="19"/>
      <c r="AN79" s="19"/>
      <c r="AO79" s="19"/>
      <c r="AP79" s="19"/>
      <c r="AQ79" s="34"/>
      <c r="AR79" s="34"/>
    </row>
    <row r="80" spans="1:44" x14ac:dyDescent="0.25">
      <c r="A80" s="109" t="s">
        <v>10</v>
      </c>
      <c r="B80" s="110"/>
      <c r="C80" s="1"/>
      <c r="D80" s="1"/>
      <c r="E80" s="1"/>
      <c r="F80" s="1"/>
      <c r="G80" s="1">
        <v>-67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v>-94199.79</v>
      </c>
      <c r="Z80" s="1"/>
      <c r="AA80" s="19">
        <f>129635</f>
        <v>129635</v>
      </c>
      <c r="AB80" s="19"/>
      <c r="AC80" s="19"/>
      <c r="AD80" s="19"/>
      <c r="AE80" s="28"/>
      <c r="AF80" s="12"/>
      <c r="AG80" s="12"/>
      <c r="AH80" s="12"/>
      <c r="AI80" s="19"/>
      <c r="AJ80" s="19"/>
      <c r="AK80" s="19"/>
      <c r="AL80" s="19"/>
      <c r="AM80" s="19"/>
      <c r="AN80" s="19"/>
      <c r="AO80" s="19"/>
      <c r="AP80" s="19"/>
      <c r="AQ80" s="34"/>
      <c r="AR80" s="34"/>
    </row>
    <row r="81" spans="1:44" ht="30.75" customHeight="1" x14ac:dyDescent="0.25">
      <c r="A81" s="109" t="s">
        <v>16</v>
      </c>
      <c r="B81" s="110"/>
      <c r="C81" s="1"/>
      <c r="D81" s="1"/>
      <c r="E81" s="1">
        <v>2480.69</v>
      </c>
      <c r="F81" s="1"/>
      <c r="G81" s="1">
        <f>10138.57+19589.11</f>
        <v>29727.68</v>
      </c>
      <c r="H81" s="1"/>
      <c r="I81" s="1">
        <f>14183.88+15638.22</f>
        <v>29822.1</v>
      </c>
      <c r="J81" s="1"/>
      <c r="K81" s="1"/>
      <c r="L81" s="1"/>
      <c r="M81" s="1"/>
      <c r="N81" s="1"/>
      <c r="O81" s="1">
        <v>4458.26</v>
      </c>
      <c r="P81" s="1"/>
      <c r="Q81" s="1"/>
      <c r="R81" s="1"/>
      <c r="S81" s="1"/>
      <c r="T81" s="1"/>
      <c r="U81" s="1"/>
      <c r="V81" s="1"/>
      <c r="W81" s="1"/>
      <c r="X81" s="1"/>
      <c r="Y81" s="1">
        <v>65212.44</v>
      </c>
      <c r="Z81" s="1"/>
      <c r="AA81" s="19">
        <v>153588.26999999999</v>
      </c>
      <c r="AB81" s="19">
        <v>153588.26999999999</v>
      </c>
      <c r="AC81" s="19">
        <v>1100</v>
      </c>
      <c r="AD81" s="19"/>
      <c r="AE81" s="28">
        <v>316.54000000000002</v>
      </c>
      <c r="AF81" s="12"/>
      <c r="AG81" s="12"/>
      <c r="AH81" s="12"/>
      <c r="AI81" s="19"/>
      <c r="AJ81" s="19"/>
      <c r="AK81" s="19"/>
      <c r="AL81" s="19"/>
      <c r="AM81" s="12"/>
      <c r="AN81" s="12"/>
      <c r="AO81" s="12"/>
      <c r="AP81" s="12"/>
      <c r="AQ81" s="39"/>
      <c r="AR81" s="39"/>
    </row>
    <row r="82" spans="1:44" x14ac:dyDescent="0.25">
      <c r="A82" s="111" t="s">
        <v>15</v>
      </c>
      <c r="B82" s="112"/>
      <c r="C82" s="115">
        <v>-1470.89</v>
      </c>
      <c r="D82" s="115">
        <f>SUM(D84:D88)</f>
        <v>0</v>
      </c>
      <c r="E82" s="115">
        <f t="shared" ref="E82:AB82" si="16">SUM(E84:E88)</f>
        <v>741.25</v>
      </c>
      <c r="F82" s="115">
        <f t="shared" si="16"/>
        <v>0</v>
      </c>
      <c r="G82" s="115">
        <f t="shared" si="16"/>
        <v>0</v>
      </c>
      <c r="H82" s="115">
        <f t="shared" si="16"/>
        <v>0</v>
      </c>
      <c r="I82" s="115">
        <f t="shared" si="16"/>
        <v>0</v>
      </c>
      <c r="J82" s="115">
        <f t="shared" si="16"/>
        <v>0</v>
      </c>
      <c r="K82" s="115">
        <f t="shared" si="16"/>
        <v>0</v>
      </c>
      <c r="L82" s="115">
        <f t="shared" si="16"/>
        <v>0</v>
      </c>
      <c r="M82" s="115">
        <f t="shared" si="16"/>
        <v>0</v>
      </c>
      <c r="N82" s="115">
        <f t="shared" si="16"/>
        <v>0</v>
      </c>
      <c r="O82" s="115">
        <f t="shared" si="16"/>
        <v>0</v>
      </c>
      <c r="P82" s="115">
        <f t="shared" si="16"/>
        <v>0</v>
      </c>
      <c r="Q82" s="115">
        <f t="shared" si="16"/>
        <v>0</v>
      </c>
      <c r="R82" s="115">
        <f t="shared" si="16"/>
        <v>0</v>
      </c>
      <c r="S82" s="115">
        <f t="shared" si="16"/>
        <v>0</v>
      </c>
      <c r="T82" s="115">
        <f t="shared" si="16"/>
        <v>0</v>
      </c>
      <c r="U82" s="115">
        <f t="shared" si="16"/>
        <v>0</v>
      </c>
      <c r="V82" s="115">
        <f t="shared" si="16"/>
        <v>0</v>
      </c>
      <c r="W82" s="115">
        <f t="shared" si="16"/>
        <v>0</v>
      </c>
      <c r="X82" s="115">
        <f t="shared" si="16"/>
        <v>0</v>
      </c>
      <c r="Y82" s="115">
        <f t="shared" si="16"/>
        <v>0</v>
      </c>
      <c r="Z82" s="115">
        <f t="shared" si="16"/>
        <v>0</v>
      </c>
      <c r="AA82" s="128">
        <f>AA84+AA85+AA86+AA87+AA88</f>
        <v>84248.31</v>
      </c>
      <c r="AB82" s="128">
        <f t="shared" si="16"/>
        <v>0</v>
      </c>
      <c r="AC82" s="128">
        <f>SUM(AC84:AC88)</f>
        <v>130082.92000000001</v>
      </c>
      <c r="AD82" s="128">
        <f>SUM(AD84:AD88)</f>
        <v>0</v>
      </c>
      <c r="AE82" s="126">
        <f t="shared" ref="AE82:AL82" si="17">AE84+AE85+AE86+AE87+AE88</f>
        <v>122664.07</v>
      </c>
      <c r="AF82" s="126">
        <f t="shared" si="17"/>
        <v>0</v>
      </c>
      <c r="AG82" s="126">
        <f t="shared" si="17"/>
        <v>0</v>
      </c>
      <c r="AH82" s="126">
        <f t="shared" si="17"/>
        <v>0</v>
      </c>
      <c r="AI82" s="122">
        <f t="shared" si="17"/>
        <v>45365.68</v>
      </c>
      <c r="AJ82" s="122">
        <f t="shared" si="17"/>
        <v>0</v>
      </c>
      <c r="AK82" s="122">
        <v>0</v>
      </c>
      <c r="AL82" s="122">
        <f t="shared" si="17"/>
        <v>0</v>
      </c>
      <c r="AM82" s="122">
        <f>AM84+AM85+AM86+AM87+AM88</f>
        <v>66020.55</v>
      </c>
      <c r="AN82" s="122">
        <f>AN84+AN85+AN86+AN87+AN88</f>
        <v>0</v>
      </c>
      <c r="AO82" s="122">
        <f>AO84+AO85+AO86+AO87+AO88</f>
        <v>0</v>
      </c>
      <c r="AP82" s="122">
        <f>AP84+AP85+AP86+AP87+AP88</f>
        <v>0</v>
      </c>
      <c r="AQ82" s="116">
        <f>AM82/AI82-1</f>
        <v>0.45529726436372164</v>
      </c>
      <c r="AR82" s="116" t="e">
        <f>AO82/AK82-1</f>
        <v>#DIV/0!</v>
      </c>
    </row>
    <row r="83" spans="1:44" x14ac:dyDescent="0.25">
      <c r="A83" s="113"/>
      <c r="B83" s="11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25"/>
      <c r="AB83" s="125"/>
      <c r="AC83" s="131"/>
      <c r="AD83" s="125"/>
      <c r="AE83" s="127"/>
      <c r="AF83" s="127"/>
      <c r="AG83" s="127"/>
      <c r="AH83" s="127"/>
      <c r="AI83" s="123"/>
      <c r="AJ83" s="123"/>
      <c r="AK83" s="123"/>
      <c r="AL83" s="123"/>
      <c r="AM83" s="123"/>
      <c r="AN83" s="123"/>
      <c r="AO83" s="123"/>
      <c r="AP83" s="123"/>
      <c r="AQ83" s="117"/>
      <c r="AR83" s="117"/>
    </row>
    <row r="84" spans="1:44" ht="44.25" customHeight="1" x14ac:dyDescent="0.25">
      <c r="A84" s="109" t="s">
        <v>11</v>
      </c>
      <c r="B84" s="110"/>
      <c r="C84" s="2"/>
      <c r="D84" s="2"/>
      <c r="E84" s="2">
        <v>741.25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6"/>
      <c r="AB84" s="16"/>
      <c r="AC84" s="16">
        <v>5034.4399999999996</v>
      </c>
      <c r="AD84" s="13"/>
      <c r="AE84" s="23">
        <v>354.61</v>
      </c>
      <c r="AF84" s="23"/>
      <c r="AG84" s="23"/>
      <c r="AH84" s="23"/>
      <c r="AI84" s="16"/>
      <c r="AJ84" s="16"/>
      <c r="AK84" s="16"/>
      <c r="AL84" s="16"/>
      <c r="AM84" s="16"/>
      <c r="AN84" s="16"/>
      <c r="AO84" s="16"/>
      <c r="AP84" s="16"/>
      <c r="AQ84" s="24"/>
      <c r="AR84" s="24"/>
    </row>
    <row r="85" spans="1:44" x14ac:dyDescent="0.25">
      <c r="A85" s="109" t="s">
        <v>8</v>
      </c>
      <c r="B85" s="110"/>
      <c r="C85" s="2"/>
      <c r="D85" s="2"/>
      <c r="E85" s="2">
        <v>0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6">
        <v>53091.66</v>
      </c>
      <c r="AB85" s="16"/>
      <c r="AC85" s="16">
        <v>81730</v>
      </c>
      <c r="AD85" s="13"/>
      <c r="AE85" s="23">
        <v>82376</v>
      </c>
      <c r="AF85" s="23"/>
      <c r="AG85" s="23"/>
      <c r="AH85" s="23"/>
      <c r="AI85" s="16">
        <v>28290.47</v>
      </c>
      <c r="AJ85" s="16"/>
      <c r="AK85" s="16"/>
      <c r="AL85" s="16"/>
      <c r="AM85" s="16">
        <f>26920.01</f>
        <v>26920.01</v>
      </c>
      <c r="AN85" s="16"/>
      <c r="AO85" s="16"/>
      <c r="AP85" s="16"/>
      <c r="AQ85" s="24"/>
      <c r="AR85" s="24"/>
    </row>
    <row r="86" spans="1:44" ht="29.25" customHeight="1" x14ac:dyDescent="0.25">
      <c r="A86" s="109" t="s">
        <v>9</v>
      </c>
      <c r="B86" s="110"/>
      <c r="C86" s="2"/>
      <c r="D86" s="2"/>
      <c r="E86" s="2">
        <v>0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6">
        <v>31156.65</v>
      </c>
      <c r="AB86" s="16"/>
      <c r="AC86" s="16">
        <v>43318.48</v>
      </c>
      <c r="AD86" s="13"/>
      <c r="AE86" s="23">
        <v>39933.46</v>
      </c>
      <c r="AF86" s="23"/>
      <c r="AG86" s="23"/>
      <c r="AH86" s="23"/>
      <c r="AI86" s="16"/>
      <c r="AJ86" s="16"/>
      <c r="AK86" s="16"/>
      <c r="AL86" s="16"/>
      <c r="AM86" s="16"/>
      <c r="AN86" s="16"/>
      <c r="AO86" s="16"/>
      <c r="AP86" s="16"/>
      <c r="AQ86" s="24"/>
      <c r="AR86" s="24"/>
    </row>
    <row r="87" spans="1:44" x14ac:dyDescent="0.25">
      <c r="A87" s="109" t="s">
        <v>10</v>
      </c>
      <c r="B87" s="11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6"/>
      <c r="AB87" s="23"/>
      <c r="AC87" s="13"/>
      <c r="AD87" s="13"/>
      <c r="AE87" s="13"/>
      <c r="AF87" s="13"/>
      <c r="AG87" s="13"/>
      <c r="AH87" s="13"/>
      <c r="AI87" s="16">
        <v>17075.21</v>
      </c>
      <c r="AJ87" s="16"/>
      <c r="AK87" s="16"/>
      <c r="AL87" s="16"/>
      <c r="AM87" s="16">
        <v>39100.54</v>
      </c>
      <c r="AN87" s="16"/>
      <c r="AO87" s="16"/>
      <c r="AP87" s="16"/>
      <c r="AQ87" s="24"/>
      <c r="AR87" s="24"/>
    </row>
    <row r="88" spans="1:44" ht="29.25" customHeight="1" x14ac:dyDescent="0.25">
      <c r="A88" s="109" t="s">
        <v>16</v>
      </c>
      <c r="B88" s="1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31"/>
      <c r="AR88" s="31"/>
    </row>
    <row r="89" spans="1:44" ht="60" hidden="1" x14ac:dyDescent="0.25">
      <c r="A89" s="7" t="s">
        <v>25</v>
      </c>
      <c r="B89" s="7"/>
      <c r="C89" s="9">
        <v>3090165.46</v>
      </c>
      <c r="D89" s="9">
        <v>3090165.46</v>
      </c>
      <c r="E89" s="9">
        <f>SUM(E90:E92)</f>
        <v>0</v>
      </c>
      <c r="F89" s="9">
        <f>SUM(F90:F92)</f>
        <v>0</v>
      </c>
      <c r="G89" s="9">
        <f t="shared" ref="G89:Z89" si="18">SUM(G90:G92)</f>
        <v>0</v>
      </c>
      <c r="H89" s="9">
        <f t="shared" si="18"/>
        <v>0</v>
      </c>
      <c r="I89" s="9">
        <f t="shared" si="18"/>
        <v>0</v>
      </c>
      <c r="J89" s="9">
        <f t="shared" si="18"/>
        <v>0</v>
      </c>
      <c r="K89" s="9">
        <f t="shared" si="18"/>
        <v>0</v>
      </c>
      <c r="L89" s="9">
        <f t="shared" si="18"/>
        <v>0</v>
      </c>
      <c r="M89" s="9">
        <f t="shared" si="18"/>
        <v>0</v>
      </c>
      <c r="N89" s="9">
        <f t="shared" si="18"/>
        <v>0</v>
      </c>
      <c r="O89" s="9">
        <f t="shared" si="18"/>
        <v>0</v>
      </c>
      <c r="P89" s="9">
        <f t="shared" si="18"/>
        <v>0</v>
      </c>
      <c r="Q89" s="9">
        <f t="shared" si="18"/>
        <v>0</v>
      </c>
      <c r="R89" s="9">
        <f t="shared" si="18"/>
        <v>0</v>
      </c>
      <c r="S89" s="9">
        <f t="shared" si="18"/>
        <v>0</v>
      </c>
      <c r="T89" s="9">
        <f t="shared" si="18"/>
        <v>0</v>
      </c>
      <c r="U89" s="9">
        <f t="shared" si="18"/>
        <v>0</v>
      </c>
      <c r="V89" s="9">
        <f t="shared" si="18"/>
        <v>0</v>
      </c>
      <c r="W89" s="9">
        <f t="shared" si="18"/>
        <v>0</v>
      </c>
      <c r="X89" s="9">
        <f t="shared" si="18"/>
        <v>0</v>
      </c>
      <c r="Y89" s="9">
        <f t="shared" si="18"/>
        <v>0</v>
      </c>
      <c r="Z89" s="9">
        <f t="shared" si="18"/>
        <v>0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129">
        <v>0</v>
      </c>
      <c r="AR89" s="129">
        <v>0</v>
      </c>
    </row>
    <row r="90" spans="1:44" hidden="1" x14ac:dyDescent="0.25">
      <c r="A90" s="109" t="s">
        <v>10</v>
      </c>
      <c r="B90" s="132"/>
      <c r="C90" s="2"/>
      <c r="D90" s="2"/>
      <c r="E90" s="2"/>
      <c r="F90" s="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3"/>
      <c r="AB90" s="13"/>
      <c r="AC90" s="13"/>
      <c r="AD90" s="13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130"/>
      <c r="AR90" s="130"/>
    </row>
    <row r="91" spans="1:44" hidden="1" x14ac:dyDescent="0.25">
      <c r="A91" s="133" t="s">
        <v>24</v>
      </c>
      <c r="B91" s="132"/>
      <c r="C91" s="9">
        <f>4008760.53+5844431.63+14283.75+179317.37</f>
        <v>10046793.279999999</v>
      </c>
      <c r="D91" s="9">
        <f>989699.04+1910943.77</f>
        <v>2900642.81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32"/>
      <c r="AR91" s="32"/>
    </row>
    <row r="92" spans="1:44" hidden="1" x14ac:dyDescent="0.25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31"/>
      <c r="AR92" s="31"/>
    </row>
    <row r="93" spans="1:44" x14ac:dyDescent="0.25">
      <c r="A93" s="133" t="s">
        <v>12</v>
      </c>
      <c r="B93" s="132"/>
      <c r="C93" s="10">
        <f>C8+C33+C40+C47+C54+C61+C68+C75+C82+C89+C91</f>
        <v>94587677.819999993</v>
      </c>
      <c r="D93" s="10">
        <f>D8+D33+D40+D47+D54+D61+D68+D75+D82+D89+D91</f>
        <v>68008770.719999999</v>
      </c>
      <c r="E93" s="10">
        <f>E8+E33+E40+E47+E54+E61+E68+E75+E82+E89</f>
        <v>85864729.75999999</v>
      </c>
      <c r="F93" s="10">
        <f>F8+F33+F40+F47+F54+F61+F68+F75+F82+F89</f>
        <v>66510808.209999993</v>
      </c>
      <c r="G93" s="10">
        <f t="shared" ref="G93:Y93" si="19">G8+G33+G40+G47+G54+G61+G68+G75+G82+G89</f>
        <v>93511066.090000018</v>
      </c>
      <c r="H93" s="10">
        <f t="shared" si="19"/>
        <v>66963948.660000004</v>
      </c>
      <c r="I93" s="10">
        <f t="shared" si="19"/>
        <v>92440148.88000001</v>
      </c>
      <c r="J93" s="10">
        <f t="shared" si="19"/>
        <v>69371696.100000009</v>
      </c>
      <c r="K93" s="10">
        <f t="shared" si="19"/>
        <v>93692017.959999993</v>
      </c>
      <c r="L93" s="10">
        <f t="shared" si="19"/>
        <v>72494645.030000001</v>
      </c>
      <c r="M93" s="10">
        <f t="shared" si="19"/>
        <v>95350288.340000004</v>
      </c>
      <c r="N93" s="10">
        <f t="shared" si="19"/>
        <v>74699098.340000004</v>
      </c>
      <c r="O93" s="10">
        <f t="shared" si="19"/>
        <v>92952938.269999996</v>
      </c>
      <c r="P93" s="10">
        <f t="shared" si="19"/>
        <v>82357876.220000014</v>
      </c>
      <c r="Q93" s="10">
        <f t="shared" si="19"/>
        <v>97449531.209999979</v>
      </c>
      <c r="R93" s="10">
        <f t="shared" si="19"/>
        <v>74441297.569999993</v>
      </c>
      <c r="S93" s="10">
        <f t="shared" si="19"/>
        <v>96755275.489999995</v>
      </c>
      <c r="T93" s="10">
        <f t="shared" si="19"/>
        <v>74719949.890000001</v>
      </c>
      <c r="U93" s="10">
        <f t="shared" si="19"/>
        <v>97352731.719999984</v>
      </c>
      <c r="V93" s="10">
        <f t="shared" si="19"/>
        <v>74918061.669999987</v>
      </c>
      <c r="W93" s="10">
        <f t="shared" si="19"/>
        <v>103431682.53</v>
      </c>
      <c r="X93" s="10">
        <f t="shared" si="19"/>
        <v>71550048.36999999</v>
      </c>
      <c r="Y93" s="10">
        <f t="shared" si="19"/>
        <v>139512827.16999999</v>
      </c>
      <c r="Z93" s="10">
        <f>Z8+Z33+Z40+Z47+Z54+Z61+Z68+Z75+Z82+Z89</f>
        <v>116277638.82999998</v>
      </c>
      <c r="AA93" s="20">
        <f>AA8+AA33+AA40+AA47+AA54+AA61+AA68+AA75+AA82+AA89</f>
        <v>136792938.08000001</v>
      </c>
      <c r="AB93" s="20">
        <f>AB8+AB33+AB40+AB47+AB54+AB61+AB68+AB75+AB82+AB89</f>
        <v>43344897.469999999</v>
      </c>
      <c r="AC93" s="20">
        <f>AC8+AC33+AC40+AC47+AC54+AC61+AC68+AC75+AC82+AC89</f>
        <v>211086618.58000001</v>
      </c>
      <c r="AD93" s="20">
        <f>AD8+AD33+AD40+AD47+AD54+AD61+AD68+AD75+AD82+AD89</f>
        <v>119975047.31999999</v>
      </c>
      <c r="AE93" s="10">
        <f t="shared" ref="AE93:AL93" si="20">AE8+AE33+AE40+AE47+AE54+AE61+AE75+AE82</f>
        <v>210062888.64999998</v>
      </c>
      <c r="AF93" s="10">
        <f t="shared" si="20"/>
        <v>99495187.609999999</v>
      </c>
      <c r="AG93" s="10">
        <f t="shared" si="20"/>
        <v>86313931.799999982</v>
      </c>
      <c r="AH93" s="10">
        <f t="shared" si="20"/>
        <v>23141374.309999999</v>
      </c>
      <c r="AI93" s="20">
        <f t="shared" si="20"/>
        <v>128946217.90000001</v>
      </c>
      <c r="AJ93" s="20">
        <f t="shared" si="20"/>
        <v>32163242.649999999</v>
      </c>
      <c r="AK93" s="20">
        <f t="shared" si="20"/>
        <v>14429840.109999999</v>
      </c>
      <c r="AL93" s="20">
        <f t="shared" si="20"/>
        <v>0</v>
      </c>
      <c r="AM93" s="54">
        <f>AM8+AM33+AM40+AM47+AM54+AM61+AM75+AM82+AM15+AM21+AM27</f>
        <v>114717969.31</v>
      </c>
      <c r="AN93" s="54">
        <f t="shared" ref="AN93:AP93" si="21">AN8+AN33+AN40+AN47+AN54+AN61+AN75+AN82+AN15+AN21+AN27</f>
        <v>27610892.950000003</v>
      </c>
      <c r="AO93" s="54">
        <f t="shared" si="21"/>
        <v>10462984.899999999</v>
      </c>
      <c r="AP93" s="54">
        <f t="shared" si="21"/>
        <v>0</v>
      </c>
      <c r="AQ93" s="35">
        <f>AM93/AI93-1</f>
        <v>-0.1103425041984113</v>
      </c>
      <c r="AR93" s="35">
        <f>AO93/AK93-1</f>
        <v>-0.27490638702579506</v>
      </c>
    </row>
    <row r="94" spans="1:44" ht="30" customHeight="1" x14ac:dyDescent="0.25">
      <c r="A94" s="109" t="s">
        <v>11</v>
      </c>
      <c r="B94" s="132"/>
      <c r="C94" s="2">
        <f t="shared" ref="C94:AD94" si="22">C10+C35+C42+C49+C56+C63+C70+C77+C84</f>
        <v>0</v>
      </c>
      <c r="D94" s="2">
        <f t="shared" si="22"/>
        <v>0</v>
      </c>
      <c r="E94" s="2">
        <f t="shared" si="22"/>
        <v>17953226.410000004</v>
      </c>
      <c r="F94" s="2">
        <f t="shared" si="22"/>
        <v>6382951.8399999943</v>
      </c>
      <c r="G94" s="2">
        <f t="shared" si="22"/>
        <v>19216097.170000002</v>
      </c>
      <c r="H94" s="2">
        <f t="shared" si="22"/>
        <v>6555841.7200000007</v>
      </c>
      <c r="I94" s="2">
        <f t="shared" si="22"/>
        <v>22865503.460000001</v>
      </c>
      <c r="J94" s="2">
        <f t="shared" si="22"/>
        <v>5864947.9199999999</v>
      </c>
      <c r="K94" s="2">
        <f t="shared" si="22"/>
        <v>17090632.079999998</v>
      </c>
      <c r="L94" s="2">
        <f t="shared" si="22"/>
        <v>5837825.0099999998</v>
      </c>
      <c r="M94" s="2">
        <f t="shared" si="22"/>
        <v>16099291.18</v>
      </c>
      <c r="N94" s="2">
        <f t="shared" si="22"/>
        <v>7784857.7199999997</v>
      </c>
      <c r="O94" s="2">
        <f t="shared" si="22"/>
        <v>16094244.300000001</v>
      </c>
      <c r="P94" s="2">
        <f t="shared" si="22"/>
        <v>7902977.2199999997</v>
      </c>
      <c r="Q94" s="2">
        <f t="shared" si="22"/>
        <v>20791692.359999999</v>
      </c>
      <c r="R94" s="2">
        <f t="shared" si="22"/>
        <v>7175180.9199999999</v>
      </c>
      <c r="S94" s="2">
        <f t="shared" si="22"/>
        <v>20070445.379999999</v>
      </c>
      <c r="T94" s="2">
        <f t="shared" si="22"/>
        <v>6987489.4900000002</v>
      </c>
      <c r="U94" s="2">
        <f t="shared" si="22"/>
        <v>24410984.270000003</v>
      </c>
      <c r="V94" s="2">
        <f t="shared" si="22"/>
        <v>4182653.4699999997</v>
      </c>
      <c r="W94" s="2">
        <f t="shared" si="22"/>
        <v>34358661.780000001</v>
      </c>
      <c r="X94" s="2">
        <f t="shared" si="22"/>
        <v>4756662.17</v>
      </c>
      <c r="Y94" s="2">
        <f t="shared" si="22"/>
        <v>37550191.880000003</v>
      </c>
      <c r="Z94" s="2">
        <f t="shared" si="22"/>
        <v>19969076.690000001</v>
      </c>
      <c r="AA94" s="16">
        <f t="shared" si="22"/>
        <v>78679277.219999999</v>
      </c>
      <c r="AB94" s="16">
        <f t="shared" si="22"/>
        <v>28544503.479999997</v>
      </c>
      <c r="AC94" s="16">
        <f t="shared" si="22"/>
        <v>97897786.019999981</v>
      </c>
      <c r="AD94" s="16">
        <f t="shared" si="22"/>
        <v>50095879.390000001</v>
      </c>
      <c r="AE94" s="23">
        <f t="shared" ref="AE94:AL94" si="23">AE10+AE35+AE42+AE49+AE56+AE63+AE77+AE84</f>
        <v>108565286.30999999</v>
      </c>
      <c r="AF94" s="23">
        <f t="shared" si="23"/>
        <v>66674832.540000007</v>
      </c>
      <c r="AG94" s="23">
        <f t="shared" si="23"/>
        <v>32847516.43</v>
      </c>
      <c r="AH94" s="23">
        <f t="shared" si="23"/>
        <v>21260780.43</v>
      </c>
      <c r="AI94" s="16">
        <f t="shared" si="23"/>
        <v>59026929.369999997</v>
      </c>
      <c r="AJ94" s="16">
        <f t="shared" si="23"/>
        <v>219982.55</v>
      </c>
      <c r="AK94" s="16">
        <f t="shared" si="23"/>
        <v>3777110.1399999997</v>
      </c>
      <c r="AL94" s="16">
        <f t="shared" si="23"/>
        <v>0</v>
      </c>
      <c r="AM94" s="16">
        <f>AM10+AM35+AM42+AM49+AM56+AM63+AM77+AM84+AM16+AM22+AM28</f>
        <v>65768686.340000004</v>
      </c>
      <c r="AN94" s="16">
        <f t="shared" ref="AN94:AP94" si="24">AN10+AN35+AN42+AN49+AN56+AN63+AN77+AN84+AN16+AN22+AN28</f>
        <v>12556458.93</v>
      </c>
      <c r="AO94" s="16">
        <f t="shared" si="24"/>
        <v>2920343.81</v>
      </c>
      <c r="AP94" s="16">
        <f t="shared" si="24"/>
        <v>0</v>
      </c>
      <c r="AQ94" s="36"/>
      <c r="AR94" s="36"/>
    </row>
    <row r="95" spans="1:44" x14ac:dyDescent="0.25">
      <c r="A95" s="109" t="s">
        <v>8</v>
      </c>
      <c r="B95" s="132"/>
      <c r="C95" s="2">
        <f t="shared" ref="C95:AD95" si="25">C11+C36+C43+C50+C57+C64+C71+C78+C85</f>
        <v>0</v>
      </c>
      <c r="D95" s="2">
        <f t="shared" si="25"/>
        <v>0</v>
      </c>
      <c r="E95" s="2">
        <f t="shared" si="25"/>
        <v>0</v>
      </c>
      <c r="F95" s="2">
        <f t="shared" si="25"/>
        <v>0</v>
      </c>
      <c r="G95" s="2">
        <f t="shared" si="25"/>
        <v>1611249.67</v>
      </c>
      <c r="H95" s="2">
        <f t="shared" si="25"/>
        <v>0</v>
      </c>
      <c r="I95" s="2">
        <f t="shared" si="25"/>
        <v>1404831.87</v>
      </c>
      <c r="J95" s="2">
        <f t="shared" si="25"/>
        <v>0</v>
      </c>
      <c r="K95" s="2">
        <f t="shared" si="25"/>
        <v>2089553.3599999999</v>
      </c>
      <c r="L95" s="2">
        <f t="shared" si="25"/>
        <v>0</v>
      </c>
      <c r="M95" s="2">
        <f t="shared" si="25"/>
        <v>1291836.76</v>
      </c>
      <c r="N95" s="2">
        <f t="shared" si="25"/>
        <v>0</v>
      </c>
      <c r="O95" s="2">
        <f t="shared" si="25"/>
        <v>1343049.24</v>
      </c>
      <c r="P95" s="2">
        <f t="shared" si="25"/>
        <v>0</v>
      </c>
      <c r="Q95" s="2">
        <f t="shared" si="25"/>
        <v>1452525.99</v>
      </c>
      <c r="R95" s="2">
        <f t="shared" si="25"/>
        <v>0</v>
      </c>
      <c r="S95" s="2">
        <f t="shared" si="25"/>
        <v>1242140.78</v>
      </c>
      <c r="T95" s="2">
        <f t="shared" si="25"/>
        <v>0</v>
      </c>
      <c r="U95" s="2">
        <f t="shared" si="25"/>
        <v>1196585.6499999999</v>
      </c>
      <c r="V95" s="2">
        <f t="shared" si="25"/>
        <v>0</v>
      </c>
      <c r="W95" s="2">
        <f t="shared" si="25"/>
        <v>1283435.7</v>
      </c>
      <c r="X95" s="2">
        <f t="shared" si="25"/>
        <v>0</v>
      </c>
      <c r="Y95" s="2">
        <f t="shared" si="25"/>
        <v>0</v>
      </c>
      <c r="Z95" s="2">
        <f t="shared" si="25"/>
        <v>0</v>
      </c>
      <c r="AA95" s="16">
        <f t="shared" si="25"/>
        <v>28007459.789999999</v>
      </c>
      <c r="AB95" s="16">
        <f t="shared" si="25"/>
        <v>0</v>
      </c>
      <c r="AC95" s="16">
        <f t="shared" si="25"/>
        <v>33425614.419999998</v>
      </c>
      <c r="AD95" s="16">
        <f t="shared" si="25"/>
        <v>0</v>
      </c>
      <c r="AE95" s="23">
        <f t="shared" ref="AE95:AL95" si="26">AE11+AE36+AE43+AE50+AE57+AE64+AE78+AE85</f>
        <v>33462185.5</v>
      </c>
      <c r="AF95" s="23">
        <f t="shared" si="26"/>
        <v>18386199.240000002</v>
      </c>
      <c r="AG95" s="23">
        <f t="shared" si="26"/>
        <v>0</v>
      </c>
      <c r="AH95" s="23">
        <f t="shared" si="26"/>
        <v>0</v>
      </c>
      <c r="AI95" s="16">
        <f t="shared" si="26"/>
        <v>36363970.560000002</v>
      </c>
      <c r="AJ95" s="16">
        <f t="shared" si="26"/>
        <v>19065790.949999999</v>
      </c>
      <c r="AK95" s="16">
        <f t="shared" si="26"/>
        <v>0</v>
      </c>
      <c r="AL95" s="16">
        <f t="shared" si="26"/>
        <v>0</v>
      </c>
      <c r="AM95" s="16">
        <f>AM11+AM36+AM43+AM50+AM57+AM64+AM78+AM85+AM17+AM23+AM29</f>
        <v>23214858.68</v>
      </c>
      <c r="AN95" s="16">
        <f t="shared" ref="AN95:AP95" si="27">AN11+AN36+AN43+AN50+AN57+AN64+AN78+AN85+AN17+AN23+AN29</f>
        <v>9371148.2899999991</v>
      </c>
      <c r="AO95" s="16">
        <f t="shared" si="27"/>
        <v>0</v>
      </c>
      <c r="AP95" s="16">
        <f t="shared" si="27"/>
        <v>0</v>
      </c>
      <c r="AQ95" s="37"/>
      <c r="AR95" s="37"/>
    </row>
    <row r="96" spans="1:44" ht="30" customHeight="1" x14ac:dyDescent="0.25">
      <c r="A96" s="109" t="s">
        <v>9</v>
      </c>
      <c r="B96" s="132"/>
      <c r="C96" s="2">
        <f t="shared" ref="C96:AD96" si="28">C12+C37+C44+C51+C58+C65+C72+C79+C86</f>
        <v>0</v>
      </c>
      <c r="D96" s="2">
        <f t="shared" si="28"/>
        <v>0</v>
      </c>
      <c r="E96" s="2">
        <f t="shared" si="28"/>
        <v>5781112.8999999994</v>
      </c>
      <c r="F96" s="2">
        <f t="shared" si="28"/>
        <v>0</v>
      </c>
      <c r="G96" s="2">
        <f t="shared" si="28"/>
        <v>841993.46</v>
      </c>
      <c r="H96" s="2">
        <f t="shared" si="28"/>
        <v>0</v>
      </c>
      <c r="I96" s="2">
        <f t="shared" si="28"/>
        <v>730672.66</v>
      </c>
      <c r="J96" s="2">
        <f t="shared" si="28"/>
        <v>0</v>
      </c>
      <c r="K96" s="2">
        <f t="shared" si="28"/>
        <v>907890.05999999994</v>
      </c>
      <c r="L96" s="2">
        <f t="shared" si="28"/>
        <v>0</v>
      </c>
      <c r="M96" s="2">
        <f t="shared" si="28"/>
        <v>596611.02</v>
      </c>
      <c r="N96" s="2">
        <f t="shared" si="28"/>
        <v>0</v>
      </c>
      <c r="O96" s="2">
        <f t="shared" si="28"/>
        <v>806056.14</v>
      </c>
      <c r="P96" s="2">
        <f t="shared" si="28"/>
        <v>0</v>
      </c>
      <c r="Q96" s="2">
        <f t="shared" si="28"/>
        <v>910579.46000000008</v>
      </c>
      <c r="R96" s="2">
        <f t="shared" si="28"/>
        <v>0</v>
      </c>
      <c r="S96" s="2">
        <f t="shared" si="28"/>
        <v>832315.84</v>
      </c>
      <c r="T96" s="2">
        <f t="shared" si="28"/>
        <v>0</v>
      </c>
      <c r="U96" s="2">
        <f t="shared" si="28"/>
        <v>786043.03</v>
      </c>
      <c r="V96" s="2">
        <f t="shared" si="28"/>
        <v>0</v>
      </c>
      <c r="W96" s="2">
        <f t="shared" si="28"/>
        <v>782576.37000000011</v>
      </c>
      <c r="X96" s="2">
        <f t="shared" si="28"/>
        <v>0</v>
      </c>
      <c r="Y96" s="2">
        <f t="shared" si="28"/>
        <v>4770499.5100000007</v>
      </c>
      <c r="Z96" s="2">
        <f t="shared" si="28"/>
        <v>0</v>
      </c>
      <c r="AA96" s="16">
        <f t="shared" si="28"/>
        <v>11517101.640000001</v>
      </c>
      <c r="AB96" s="16">
        <f t="shared" si="28"/>
        <v>0</v>
      </c>
      <c r="AC96" s="16">
        <f t="shared" si="28"/>
        <v>17564868.849999998</v>
      </c>
      <c r="AD96" s="16">
        <f t="shared" si="28"/>
        <v>11291466.59</v>
      </c>
      <c r="AE96" s="23">
        <f t="shared" ref="AE96:AL96" si="29">AE12+AE37+AE44+AE51+AE58+AE65+AE79+AE86</f>
        <v>25972037.23</v>
      </c>
      <c r="AF96" s="23">
        <f t="shared" si="29"/>
        <v>12978010.970000001</v>
      </c>
      <c r="AG96" s="23">
        <f t="shared" si="29"/>
        <v>14772077.07</v>
      </c>
      <c r="AH96" s="23">
        <f t="shared" si="29"/>
        <v>1220473.1199999999</v>
      </c>
      <c r="AI96" s="16">
        <f t="shared" si="29"/>
        <v>19092310.379999999</v>
      </c>
      <c r="AJ96" s="16">
        <f t="shared" si="29"/>
        <v>9924703.2199999988</v>
      </c>
      <c r="AK96" s="16">
        <f t="shared" si="29"/>
        <v>0</v>
      </c>
      <c r="AL96" s="16">
        <f t="shared" si="29"/>
        <v>0</v>
      </c>
      <c r="AM96" s="16">
        <f>AM12+AM37+AM44+AM51+AM58+AM65+AM79+AM86+AM18+AM24+AM30</f>
        <v>11644539.83</v>
      </c>
      <c r="AN96" s="16">
        <f t="shared" ref="AN96:AP96" si="30">AN12+AN37+AN44+AN51+AN58+AN65+AN79+AN86+AN18+AN24+AN30</f>
        <v>4993404.05</v>
      </c>
      <c r="AO96" s="16">
        <f t="shared" si="30"/>
        <v>0</v>
      </c>
      <c r="AP96" s="16">
        <f t="shared" si="30"/>
        <v>0</v>
      </c>
      <c r="AQ96" s="37"/>
      <c r="AR96" s="37"/>
    </row>
    <row r="97" spans="1:44" x14ac:dyDescent="0.25">
      <c r="A97" s="109" t="s">
        <v>10</v>
      </c>
      <c r="B97" s="132"/>
      <c r="C97" s="2">
        <f t="shared" ref="C97:Z97" si="31">C13+C38+C45+C52+C59+C66+C73+C80+C87+C90</f>
        <v>0</v>
      </c>
      <c r="D97" s="2">
        <f t="shared" si="31"/>
        <v>0</v>
      </c>
      <c r="E97" s="2">
        <f t="shared" si="31"/>
        <v>60461371.310000002</v>
      </c>
      <c r="F97" s="2">
        <f t="shared" si="31"/>
        <v>58245420.57</v>
      </c>
      <c r="G97" s="2">
        <f t="shared" si="31"/>
        <v>69929562.310000002</v>
      </c>
      <c r="H97" s="2">
        <f t="shared" si="31"/>
        <v>58525671.140000001</v>
      </c>
      <c r="I97" s="2">
        <f t="shared" si="31"/>
        <v>65526882.990000002</v>
      </c>
      <c r="J97" s="2">
        <f t="shared" si="31"/>
        <v>61624312.380000003</v>
      </c>
      <c r="K97" s="2">
        <f t="shared" si="31"/>
        <v>71721506.659999996</v>
      </c>
      <c r="L97" s="2">
        <f t="shared" si="31"/>
        <v>64774384.220000006</v>
      </c>
      <c r="M97" s="2">
        <f t="shared" si="31"/>
        <v>75480113.579999998</v>
      </c>
      <c r="N97" s="2">
        <f t="shared" si="31"/>
        <v>65031804.82</v>
      </c>
      <c r="O97" s="2">
        <f t="shared" si="31"/>
        <v>72791361.200000003</v>
      </c>
      <c r="P97" s="2">
        <f t="shared" si="31"/>
        <v>72572463.200000003</v>
      </c>
      <c r="Q97" s="2">
        <f t="shared" si="31"/>
        <v>72380297.609999999</v>
      </c>
      <c r="R97" s="2">
        <f t="shared" si="31"/>
        <v>65383680.850000001</v>
      </c>
      <c r="S97" s="2">
        <f t="shared" si="31"/>
        <v>72695876.399999991</v>
      </c>
      <c r="T97" s="2">
        <f t="shared" si="31"/>
        <v>65850024.600000001</v>
      </c>
      <c r="U97" s="2">
        <f t="shared" si="31"/>
        <v>69041659.049999997</v>
      </c>
      <c r="V97" s="2">
        <f t="shared" si="31"/>
        <v>68852972.399999991</v>
      </c>
      <c r="W97" s="2">
        <f t="shared" si="31"/>
        <v>65102023.400000006</v>
      </c>
      <c r="X97" s="2">
        <f t="shared" si="31"/>
        <v>64910950.400000006</v>
      </c>
      <c r="Y97" s="2">
        <f t="shared" si="31"/>
        <v>66208215.299999997</v>
      </c>
      <c r="Z97" s="2">
        <f t="shared" si="31"/>
        <v>65394874.099999994</v>
      </c>
      <c r="AA97" s="16">
        <f t="shared" ref="AA97:AD98" si="32">AA13+AA38+AA45+AA52+AA59+AA66+AA73+AA80+AA87</f>
        <v>14182522.93</v>
      </c>
      <c r="AB97" s="16">
        <f t="shared" si="32"/>
        <v>12430432.640000001</v>
      </c>
      <c r="AC97" s="16">
        <f t="shared" si="32"/>
        <v>21845555.419999998</v>
      </c>
      <c r="AD97" s="16">
        <f t="shared" si="32"/>
        <v>20453326.48</v>
      </c>
      <c r="AE97" s="23">
        <f t="shared" ref="AE97:AL97" si="33">AE13+AE38+AE45+AE52+AE59+AE66+AE80+AE87</f>
        <v>8512543.2200000007</v>
      </c>
      <c r="AF97" s="23">
        <f t="shared" si="33"/>
        <v>93556.36</v>
      </c>
      <c r="AG97" s="23">
        <f t="shared" si="33"/>
        <v>7493731.0800000001</v>
      </c>
      <c r="AH97" s="23">
        <f t="shared" si="33"/>
        <v>0</v>
      </c>
      <c r="AI97" s="16">
        <f t="shared" si="33"/>
        <v>6592704.9900000012</v>
      </c>
      <c r="AJ97" s="16">
        <f t="shared" si="33"/>
        <v>92285.57</v>
      </c>
      <c r="AK97" s="16">
        <f t="shared" si="33"/>
        <v>5647572.7300000004</v>
      </c>
      <c r="AL97" s="16">
        <f t="shared" si="33"/>
        <v>0</v>
      </c>
      <c r="AM97" s="16">
        <f>AM13+AM38+AM45+AM52+AM59+AM66+AM80+AM87+AM19+AM25+AM31</f>
        <v>12326718.649999999</v>
      </c>
      <c r="AN97" s="16">
        <f t="shared" ref="AN97:AP97" si="34">AN13+AN38+AN45+AN52+AN59+AN66+AN80+AN87+AN19+AN25+AN31</f>
        <v>48698.95</v>
      </c>
      <c r="AO97" s="16">
        <f t="shared" si="34"/>
        <v>7542641.0899999999</v>
      </c>
      <c r="AP97" s="16">
        <f t="shared" si="34"/>
        <v>0</v>
      </c>
      <c r="AQ97" s="37"/>
      <c r="AR97" s="37"/>
    </row>
    <row r="98" spans="1:44" ht="30" customHeight="1" x14ac:dyDescent="0.25">
      <c r="A98" s="109" t="s">
        <v>16</v>
      </c>
      <c r="B98" s="132"/>
      <c r="C98" s="2">
        <f t="shared" ref="C98:Z98" si="35">C14+C39+C46+C53+C60+C67+C74+C81+C88</f>
        <v>0</v>
      </c>
      <c r="D98" s="2">
        <f t="shared" si="35"/>
        <v>0</v>
      </c>
      <c r="E98" s="2">
        <f t="shared" si="35"/>
        <v>1669019.14</v>
      </c>
      <c r="F98" s="2">
        <f t="shared" si="35"/>
        <v>1882435.7999999998</v>
      </c>
      <c r="G98" s="2">
        <f t="shared" si="35"/>
        <v>1912163.48</v>
      </c>
      <c r="H98" s="2">
        <f t="shared" si="35"/>
        <v>1882435.8</v>
      </c>
      <c r="I98" s="2">
        <f t="shared" si="35"/>
        <v>1912257.9000000001</v>
      </c>
      <c r="J98" s="2">
        <f t="shared" si="35"/>
        <v>1882435.8</v>
      </c>
      <c r="K98" s="2">
        <f t="shared" si="35"/>
        <v>1882435.8</v>
      </c>
      <c r="L98" s="2">
        <f t="shared" si="35"/>
        <v>1882435.8</v>
      </c>
      <c r="M98" s="2">
        <f t="shared" si="35"/>
        <v>1882435.8</v>
      </c>
      <c r="N98" s="2">
        <f t="shared" si="35"/>
        <v>1882435.8</v>
      </c>
      <c r="O98" s="2">
        <f t="shared" si="35"/>
        <v>1918227.3900000001</v>
      </c>
      <c r="P98" s="2">
        <f t="shared" si="35"/>
        <v>1882435.8</v>
      </c>
      <c r="Q98" s="2">
        <f t="shared" si="35"/>
        <v>1914435.79</v>
      </c>
      <c r="R98" s="2">
        <f t="shared" si="35"/>
        <v>1882435.8</v>
      </c>
      <c r="S98" s="2">
        <f t="shared" si="35"/>
        <v>1914497.09</v>
      </c>
      <c r="T98" s="2">
        <f t="shared" si="35"/>
        <v>1882435.8</v>
      </c>
      <c r="U98" s="2">
        <f t="shared" si="35"/>
        <v>1917459.72</v>
      </c>
      <c r="V98" s="2">
        <f t="shared" si="35"/>
        <v>1882435.8</v>
      </c>
      <c r="W98" s="2">
        <f t="shared" si="35"/>
        <v>1904985.28</v>
      </c>
      <c r="X98" s="2">
        <f t="shared" si="35"/>
        <v>1882435.8</v>
      </c>
      <c r="Y98" s="2">
        <f t="shared" si="35"/>
        <v>30983920.480000004</v>
      </c>
      <c r="Z98" s="2">
        <f t="shared" si="35"/>
        <v>30913688.039999999</v>
      </c>
      <c r="AA98" s="16">
        <f t="shared" si="32"/>
        <v>4406576.5</v>
      </c>
      <c r="AB98" s="16">
        <f t="shared" si="32"/>
        <v>2369961.35</v>
      </c>
      <c r="AC98" s="16">
        <f t="shared" si="32"/>
        <v>40352793.869999997</v>
      </c>
      <c r="AD98" s="16">
        <f t="shared" si="32"/>
        <v>38134374.859999999</v>
      </c>
      <c r="AE98" s="23">
        <f t="shared" ref="AE98:AL98" si="36">AE14+AE39+AE46+AE53+AE60+AE67+AE81+AE88</f>
        <v>33550836.390000001</v>
      </c>
      <c r="AF98" s="23">
        <f t="shared" si="36"/>
        <v>1362588.5</v>
      </c>
      <c r="AG98" s="23">
        <f t="shared" si="36"/>
        <v>31200607.219999999</v>
      </c>
      <c r="AH98" s="23">
        <f t="shared" si="36"/>
        <v>660120.76</v>
      </c>
      <c r="AI98" s="16">
        <f t="shared" si="36"/>
        <v>7870302.5999999996</v>
      </c>
      <c r="AJ98" s="16">
        <f t="shared" si="36"/>
        <v>2860480.3600000003</v>
      </c>
      <c r="AK98" s="16">
        <f t="shared" si="36"/>
        <v>5005157.24</v>
      </c>
      <c r="AL98" s="16">
        <f t="shared" si="36"/>
        <v>0</v>
      </c>
      <c r="AM98" s="16">
        <f>AM14+AM39+AM46+AM53+AM60+AM67+AM81+AM88+AM20+AM26+AM32</f>
        <v>1763165.81</v>
      </c>
      <c r="AN98" s="16">
        <f t="shared" ref="AN98:AP98" si="37">AN14+AN39+AN46+AN53+AN60+AN67+AN81+AN88+AN20+AN26+AN32</f>
        <v>641182.73</v>
      </c>
      <c r="AO98" s="16">
        <f t="shared" si="37"/>
        <v>0</v>
      </c>
      <c r="AP98" s="16">
        <f t="shared" si="37"/>
        <v>0</v>
      </c>
      <c r="AQ98" s="37"/>
      <c r="AR98" s="37"/>
    </row>
    <row r="99" spans="1:44" x14ac:dyDescent="0.25">
      <c r="A99" s="133" t="s">
        <v>20</v>
      </c>
      <c r="B99" s="132"/>
      <c r="C99" s="3">
        <v>19700824</v>
      </c>
      <c r="D99" s="3"/>
      <c r="E99" s="3">
        <v>30646350</v>
      </c>
      <c r="F99" s="3"/>
      <c r="G99" s="3">
        <v>30646350</v>
      </c>
      <c r="H99" s="3"/>
      <c r="I99" s="3">
        <v>30646350</v>
      </c>
      <c r="J99" s="3"/>
      <c r="K99" s="3">
        <v>30646350</v>
      </c>
      <c r="L99" s="3"/>
      <c r="M99" s="3">
        <v>30646350</v>
      </c>
      <c r="N99" s="3"/>
      <c r="O99" s="3">
        <v>30646350</v>
      </c>
      <c r="P99" s="3"/>
      <c r="Q99" s="3">
        <v>30646350</v>
      </c>
      <c r="R99" s="3"/>
      <c r="S99" s="3">
        <v>39646350</v>
      </c>
      <c r="T99" s="3"/>
      <c r="U99" s="3">
        <v>39646350</v>
      </c>
      <c r="V99" s="3"/>
      <c r="W99" s="3">
        <v>39646350</v>
      </c>
      <c r="X99" s="3"/>
      <c r="Y99" s="3">
        <v>39592849</v>
      </c>
      <c r="Z99" s="3"/>
      <c r="AA99" s="22">
        <v>43884741</v>
      </c>
      <c r="AB99" s="18"/>
      <c r="AC99" s="22">
        <v>38729175</v>
      </c>
      <c r="AD99" s="18"/>
      <c r="AE99" s="3">
        <v>15529000</v>
      </c>
      <c r="AF99" s="18"/>
      <c r="AG99" s="18"/>
      <c r="AH99" s="18"/>
      <c r="AI99" s="22">
        <v>1250000</v>
      </c>
      <c r="AJ99" s="22"/>
      <c r="AK99" s="22"/>
      <c r="AL99" s="22"/>
      <c r="AM99" s="22">
        <v>0</v>
      </c>
      <c r="AN99" s="22"/>
      <c r="AO99" s="22"/>
      <c r="AP99" s="22"/>
      <c r="AQ99" s="37"/>
      <c r="AR99" s="37"/>
    </row>
    <row r="100" spans="1:44" x14ac:dyDescent="0.25">
      <c r="A100" s="133" t="s">
        <v>21</v>
      </c>
      <c r="B100" s="132"/>
      <c r="C100" s="3">
        <f t="shared" ref="C100:AA100" si="38">C93+C99</f>
        <v>114288501.81999999</v>
      </c>
      <c r="D100" s="3">
        <f t="shared" si="38"/>
        <v>68008770.719999999</v>
      </c>
      <c r="E100" s="3">
        <f t="shared" si="38"/>
        <v>116511079.75999999</v>
      </c>
      <c r="F100" s="3">
        <f t="shared" si="38"/>
        <v>66510808.209999993</v>
      </c>
      <c r="G100" s="3">
        <f t="shared" si="38"/>
        <v>124157416.09000002</v>
      </c>
      <c r="H100" s="3">
        <f t="shared" si="38"/>
        <v>66963948.660000004</v>
      </c>
      <c r="I100" s="3">
        <f t="shared" si="38"/>
        <v>123086498.88000001</v>
      </c>
      <c r="J100" s="3">
        <f t="shared" si="38"/>
        <v>69371696.100000009</v>
      </c>
      <c r="K100" s="3">
        <f t="shared" si="38"/>
        <v>124338367.95999999</v>
      </c>
      <c r="L100" s="3">
        <f t="shared" si="38"/>
        <v>72494645.030000001</v>
      </c>
      <c r="M100" s="3">
        <f t="shared" si="38"/>
        <v>125996638.34</v>
      </c>
      <c r="N100" s="3">
        <f t="shared" si="38"/>
        <v>74699098.340000004</v>
      </c>
      <c r="O100" s="3">
        <f t="shared" si="38"/>
        <v>123599288.27</v>
      </c>
      <c r="P100" s="3">
        <f t="shared" si="38"/>
        <v>82357876.220000014</v>
      </c>
      <c r="Q100" s="3">
        <f t="shared" si="38"/>
        <v>128095881.20999998</v>
      </c>
      <c r="R100" s="3">
        <f t="shared" si="38"/>
        <v>74441297.569999993</v>
      </c>
      <c r="S100" s="3">
        <f t="shared" si="38"/>
        <v>136401625.49000001</v>
      </c>
      <c r="T100" s="3">
        <f t="shared" si="38"/>
        <v>74719949.890000001</v>
      </c>
      <c r="U100" s="3">
        <f t="shared" si="38"/>
        <v>136999081.71999997</v>
      </c>
      <c r="V100" s="3">
        <f t="shared" si="38"/>
        <v>74918061.669999987</v>
      </c>
      <c r="W100" s="3">
        <f t="shared" si="38"/>
        <v>143078032.53</v>
      </c>
      <c r="X100" s="3">
        <f t="shared" si="38"/>
        <v>71550048.36999999</v>
      </c>
      <c r="Y100" s="3">
        <f t="shared" si="38"/>
        <v>179105676.16999999</v>
      </c>
      <c r="Z100" s="3">
        <f t="shared" si="38"/>
        <v>116277638.82999998</v>
      </c>
      <c r="AA100" s="22">
        <f t="shared" si="38"/>
        <v>180677679.08000001</v>
      </c>
      <c r="AB100" s="22">
        <f>AB93+AB99</f>
        <v>43344897.469999999</v>
      </c>
      <c r="AC100" s="22">
        <f t="shared" ref="AC100:AP100" si="39">AC93+AC99</f>
        <v>249815793.58000001</v>
      </c>
      <c r="AD100" s="22">
        <f t="shared" si="39"/>
        <v>119975047.31999999</v>
      </c>
      <c r="AE100" s="3">
        <f t="shared" si="39"/>
        <v>225591888.64999998</v>
      </c>
      <c r="AF100" s="3">
        <f t="shared" si="39"/>
        <v>99495187.609999999</v>
      </c>
      <c r="AG100" s="3">
        <f t="shared" si="39"/>
        <v>86313931.799999982</v>
      </c>
      <c r="AH100" s="3">
        <f t="shared" si="39"/>
        <v>23141374.309999999</v>
      </c>
      <c r="AI100" s="22">
        <f t="shared" si="39"/>
        <v>130196217.90000001</v>
      </c>
      <c r="AJ100" s="22">
        <f t="shared" si="39"/>
        <v>32163242.649999999</v>
      </c>
      <c r="AK100" s="22">
        <f t="shared" si="39"/>
        <v>14429840.109999999</v>
      </c>
      <c r="AL100" s="22">
        <f t="shared" si="39"/>
        <v>0</v>
      </c>
      <c r="AM100" s="22">
        <f t="shared" si="39"/>
        <v>114717969.31</v>
      </c>
      <c r="AN100" s="22">
        <f t="shared" si="39"/>
        <v>27610892.950000003</v>
      </c>
      <c r="AO100" s="22">
        <f t="shared" si="39"/>
        <v>10462984.899999999</v>
      </c>
      <c r="AP100" s="22">
        <f t="shared" si="39"/>
        <v>0</v>
      </c>
      <c r="AQ100" s="36">
        <f>AM100/AI100-1</f>
        <v>-0.11888401091565048</v>
      </c>
      <c r="AR100" s="36">
        <f>AO100/AK100-1</f>
        <v>-0.27490638702579506</v>
      </c>
    </row>
    <row r="101" spans="1:44" x14ac:dyDescent="0.25">
      <c r="A101" s="109" t="s">
        <v>22</v>
      </c>
      <c r="B101" s="13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x14ac:dyDescent="0.25">
      <c r="A102" s="109" t="s">
        <v>27</v>
      </c>
      <c r="B102" s="132"/>
      <c r="C102" s="4">
        <v>102575991</v>
      </c>
      <c r="D102" s="4">
        <v>63430848.460000001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x14ac:dyDescent="0.25">
      <c r="A103" s="109" t="s">
        <v>26</v>
      </c>
      <c r="B103" s="132"/>
      <c r="C103" s="4">
        <f>C100-C102</f>
        <v>11712510.819999993</v>
      </c>
      <c r="D103" s="4">
        <f>D100-D102</f>
        <v>4577922.2599999979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x14ac:dyDescent="0.25">
      <c r="A104" s="109" t="s">
        <v>40</v>
      </c>
      <c r="B104" s="13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1">
        <v>2369961.35</v>
      </c>
      <c r="AB104" s="21">
        <v>2369961.35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x14ac:dyDescent="0.25">
      <c r="AM105" s="48"/>
      <c r="AN105" s="48"/>
      <c r="AO105" s="48"/>
      <c r="AP105" s="48"/>
      <c r="AQ105" s="48"/>
      <c r="AR105" s="48"/>
    </row>
    <row r="106" spans="1:44" x14ac:dyDescent="0.25">
      <c r="AM106" s="48"/>
      <c r="AN106" s="48"/>
      <c r="AO106" s="48"/>
      <c r="AP106" s="48"/>
      <c r="AQ106" s="48"/>
      <c r="AR106" s="48"/>
    </row>
    <row r="107" spans="1:44" x14ac:dyDescent="0.25">
      <c r="AM107" s="48"/>
      <c r="AN107" s="48"/>
      <c r="AO107" s="48"/>
      <c r="AP107" s="48"/>
      <c r="AQ107" s="48"/>
      <c r="AR107" s="48"/>
    </row>
    <row r="108" spans="1:44" x14ac:dyDescent="0.25">
      <c r="AM108" s="48"/>
      <c r="AN108" s="48"/>
      <c r="AO108" s="48"/>
      <c r="AP108" s="48"/>
      <c r="AQ108" s="48"/>
      <c r="AR108" s="48"/>
    </row>
    <row r="109" spans="1:44" x14ac:dyDescent="0.25">
      <c r="AM109" s="48"/>
      <c r="AN109" s="48"/>
      <c r="AO109" s="48"/>
      <c r="AP109" s="48"/>
      <c r="AQ109" s="48"/>
      <c r="AR109" s="48"/>
    </row>
    <row r="110" spans="1:44" x14ac:dyDescent="0.25">
      <c r="AM110" s="48"/>
      <c r="AN110" s="48"/>
      <c r="AO110" s="48"/>
      <c r="AP110" s="48"/>
      <c r="AQ110" s="48"/>
      <c r="AR110" s="48"/>
    </row>
    <row r="111" spans="1:44" x14ac:dyDescent="0.25">
      <c r="AM111" s="48"/>
      <c r="AN111" s="48"/>
      <c r="AO111" s="48"/>
      <c r="AP111" s="48"/>
      <c r="AQ111" s="48"/>
      <c r="AR111" s="48"/>
    </row>
    <row r="112" spans="1:44" x14ac:dyDescent="0.25">
      <c r="AM112" s="48"/>
      <c r="AN112" s="48"/>
      <c r="AO112" s="48"/>
      <c r="AP112" s="48"/>
      <c r="AQ112" s="48"/>
      <c r="AR112" s="48"/>
    </row>
    <row r="113" spans="39:44" x14ac:dyDescent="0.25">
      <c r="AM113" s="48"/>
      <c r="AN113" s="48"/>
      <c r="AO113" s="48"/>
      <c r="AP113" s="48"/>
      <c r="AQ113" s="48"/>
      <c r="AR113" s="48"/>
    </row>
    <row r="114" spans="39:44" x14ac:dyDescent="0.25">
      <c r="AM114" s="48"/>
      <c r="AN114" s="48"/>
      <c r="AO114" s="48"/>
      <c r="AP114" s="48"/>
      <c r="AQ114" s="48"/>
      <c r="AR114" s="48"/>
    </row>
  </sheetData>
  <mergeCells count="470">
    <mergeCell ref="A27:B27"/>
    <mergeCell ref="A28:B28"/>
    <mergeCell ref="A29:B29"/>
    <mergeCell ref="A30:B30"/>
    <mergeCell ref="A32:B32"/>
    <mergeCell ref="A31:B31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R6"/>
    <mergeCell ref="Y5:Z6"/>
    <mergeCell ref="AA5:AB6"/>
    <mergeCell ref="AC5:AD6"/>
    <mergeCell ref="AE5:AH6"/>
    <mergeCell ref="AI5:AL6"/>
    <mergeCell ref="AM5:AP6"/>
    <mergeCell ref="S5:T6"/>
    <mergeCell ref="U5:V6"/>
    <mergeCell ref="W5:X6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P8:P9"/>
    <mergeCell ref="Q8:Q9"/>
    <mergeCell ref="R8:R9"/>
    <mergeCell ref="S8:S9"/>
    <mergeCell ref="AR8:AR9"/>
    <mergeCell ref="A10:B10"/>
    <mergeCell ref="AQ8:AQ9"/>
    <mergeCell ref="A8:B9"/>
    <mergeCell ref="C8:C9"/>
    <mergeCell ref="D8:D9"/>
    <mergeCell ref="E8:E9"/>
    <mergeCell ref="F8:F9"/>
    <mergeCell ref="G8:G9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Y8:Y9"/>
    <mergeCell ref="N8:N9"/>
    <mergeCell ref="O8:O9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AR33:AR34"/>
    <mergeCell ref="A35:B35"/>
    <mergeCell ref="A36:B36"/>
    <mergeCell ref="A37:B37"/>
    <mergeCell ref="A38:B38"/>
    <mergeCell ref="A39:B39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H40:H41"/>
    <mergeCell ref="I40:I41"/>
    <mergeCell ref="J40:J41"/>
    <mergeCell ref="K40:K41"/>
    <mergeCell ref="L40:L41"/>
    <mergeCell ref="M40:M41"/>
    <mergeCell ref="A40:B41"/>
    <mergeCell ref="C40:C41"/>
    <mergeCell ref="D40:D41"/>
    <mergeCell ref="E40:E41"/>
    <mergeCell ref="F40:F41"/>
    <mergeCell ref="G40:G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R40:AR41"/>
    <mergeCell ref="A42:B42"/>
    <mergeCell ref="A43:B43"/>
    <mergeCell ref="A44:B44"/>
    <mergeCell ref="A45:B45"/>
    <mergeCell ref="A46:B46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AR47:AR48"/>
    <mergeCell ref="A49:B49"/>
    <mergeCell ref="A50:B50"/>
    <mergeCell ref="A51:B51"/>
    <mergeCell ref="A52:B52"/>
    <mergeCell ref="A53:B53"/>
    <mergeCell ref="AL47:AL48"/>
    <mergeCell ref="AM47:AM48"/>
    <mergeCell ref="AN47:AN48"/>
    <mergeCell ref="AO47:AO48"/>
    <mergeCell ref="AP47:AP48"/>
    <mergeCell ref="AQ47:AQ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H54:H55"/>
    <mergeCell ref="I54:I55"/>
    <mergeCell ref="J54:J55"/>
    <mergeCell ref="K54:K55"/>
    <mergeCell ref="L54:L55"/>
    <mergeCell ref="M54:M55"/>
    <mergeCell ref="A54:B55"/>
    <mergeCell ref="C54:C55"/>
    <mergeCell ref="D54:D55"/>
    <mergeCell ref="E54:E55"/>
    <mergeCell ref="F54:F55"/>
    <mergeCell ref="G54:G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AR54:AR55"/>
    <mergeCell ref="A56:B56"/>
    <mergeCell ref="A57:B57"/>
    <mergeCell ref="A58:B58"/>
    <mergeCell ref="A59:B59"/>
    <mergeCell ref="A60:B60"/>
    <mergeCell ref="AL54:AL55"/>
    <mergeCell ref="AM54:AM55"/>
    <mergeCell ref="AN54:AN55"/>
    <mergeCell ref="AO54:AO55"/>
    <mergeCell ref="AP54:AP55"/>
    <mergeCell ref="AQ54:AQ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H61:H62"/>
    <mergeCell ref="I61:I62"/>
    <mergeCell ref="J61:J62"/>
    <mergeCell ref="K61:K62"/>
    <mergeCell ref="L61:L62"/>
    <mergeCell ref="M61:M62"/>
    <mergeCell ref="A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AR61:AR62"/>
    <mergeCell ref="A63:B63"/>
    <mergeCell ref="A64:B64"/>
    <mergeCell ref="A65:B65"/>
    <mergeCell ref="A66:B66"/>
    <mergeCell ref="A67:B67"/>
    <mergeCell ref="AL61:AL62"/>
    <mergeCell ref="AM61:AM62"/>
    <mergeCell ref="AN61:AN62"/>
    <mergeCell ref="AO61:AO62"/>
    <mergeCell ref="AP61:AP62"/>
    <mergeCell ref="AQ61:AQ62"/>
    <mergeCell ref="AF61:AF62"/>
    <mergeCell ref="AG61:AG62"/>
    <mergeCell ref="AH61:AH62"/>
    <mergeCell ref="AI61:AI62"/>
    <mergeCell ref="AJ61:AJ62"/>
    <mergeCell ref="AK61:AK62"/>
    <mergeCell ref="Z61:Z62"/>
    <mergeCell ref="AA61:AA62"/>
    <mergeCell ref="AB61:AB62"/>
    <mergeCell ref="AC61:AC62"/>
    <mergeCell ref="AD61:AD62"/>
    <mergeCell ref="AE61:AE62"/>
    <mergeCell ref="H68:H69"/>
    <mergeCell ref="I68:I69"/>
    <mergeCell ref="J68:J69"/>
    <mergeCell ref="K68:K69"/>
    <mergeCell ref="L68:L69"/>
    <mergeCell ref="M68:M69"/>
    <mergeCell ref="A68:B69"/>
    <mergeCell ref="C68:C69"/>
    <mergeCell ref="D68:D69"/>
    <mergeCell ref="E68:E69"/>
    <mergeCell ref="F68:F69"/>
    <mergeCell ref="G68:G69"/>
    <mergeCell ref="A73:B73"/>
    <mergeCell ref="A74:B74"/>
    <mergeCell ref="A75:B76"/>
    <mergeCell ref="C75:C76"/>
    <mergeCell ref="D75:D76"/>
    <mergeCell ref="E75:E76"/>
    <mergeCell ref="Z68:Z69"/>
    <mergeCell ref="AQ68:AQ69"/>
    <mergeCell ref="AR68:AR69"/>
    <mergeCell ref="A70:B70"/>
    <mergeCell ref="A71:B71"/>
    <mergeCell ref="A72:B72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L75:L76"/>
    <mergeCell ref="M75:M76"/>
    <mergeCell ref="N75:N76"/>
    <mergeCell ref="O75:O76"/>
    <mergeCell ref="P75:P76"/>
    <mergeCell ref="Q75:Q76"/>
    <mergeCell ref="F75:F76"/>
    <mergeCell ref="G75:G76"/>
    <mergeCell ref="H75:H76"/>
    <mergeCell ref="I75:I76"/>
    <mergeCell ref="J75:J76"/>
    <mergeCell ref="K75:K76"/>
    <mergeCell ref="X75:X76"/>
    <mergeCell ref="Y75:Y76"/>
    <mergeCell ref="Z75:Z76"/>
    <mergeCell ref="AA75:AA76"/>
    <mergeCell ref="AB75:AB76"/>
    <mergeCell ref="AC75:AC76"/>
    <mergeCell ref="R75:R76"/>
    <mergeCell ref="S75:S76"/>
    <mergeCell ref="T75:T76"/>
    <mergeCell ref="U75:U76"/>
    <mergeCell ref="V75:V76"/>
    <mergeCell ref="W75:W76"/>
    <mergeCell ref="A80:B80"/>
    <mergeCell ref="A81:B81"/>
    <mergeCell ref="A82:B83"/>
    <mergeCell ref="C82:C83"/>
    <mergeCell ref="D82:D83"/>
    <mergeCell ref="E82:E83"/>
    <mergeCell ref="AP75:AP76"/>
    <mergeCell ref="AQ75:AQ76"/>
    <mergeCell ref="AR75:AR76"/>
    <mergeCell ref="A77:B77"/>
    <mergeCell ref="A78:B78"/>
    <mergeCell ref="A79:B79"/>
    <mergeCell ref="AJ75:AJ76"/>
    <mergeCell ref="AK75:AK76"/>
    <mergeCell ref="AL75:AL76"/>
    <mergeCell ref="AM75:AM76"/>
    <mergeCell ref="AN75:AN76"/>
    <mergeCell ref="AO75:AO76"/>
    <mergeCell ref="AD75:AD76"/>
    <mergeCell ref="AE75:AE76"/>
    <mergeCell ref="AF75:AF76"/>
    <mergeCell ref="AG75:AG76"/>
    <mergeCell ref="AH75:AH76"/>
    <mergeCell ref="AI75:AI76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X82:X83"/>
    <mergeCell ref="Y82:Y83"/>
    <mergeCell ref="Z82:Z83"/>
    <mergeCell ref="AA82:AA83"/>
    <mergeCell ref="AB82:AB83"/>
    <mergeCell ref="AC82:AC83"/>
    <mergeCell ref="R82:R83"/>
    <mergeCell ref="S82:S83"/>
    <mergeCell ref="T82:T83"/>
    <mergeCell ref="U82:U83"/>
    <mergeCell ref="V82:V83"/>
    <mergeCell ref="W82:W83"/>
    <mergeCell ref="A87:B87"/>
    <mergeCell ref="A88:B88"/>
    <mergeCell ref="AQ89:AQ90"/>
    <mergeCell ref="AR89:AR90"/>
    <mergeCell ref="A90:B90"/>
    <mergeCell ref="A91:B91"/>
    <mergeCell ref="AP82:AP83"/>
    <mergeCell ref="AQ82:AQ83"/>
    <mergeCell ref="AR82:AR83"/>
    <mergeCell ref="A84:B84"/>
    <mergeCell ref="A85:B85"/>
    <mergeCell ref="A86:B86"/>
    <mergeCell ref="AJ82:AJ83"/>
    <mergeCell ref="AK82:AK83"/>
    <mergeCell ref="AL82:AL83"/>
    <mergeCell ref="AM82:AM83"/>
    <mergeCell ref="AN82:AN83"/>
    <mergeCell ref="AO82:AO83"/>
    <mergeCell ref="AD82:AD83"/>
    <mergeCell ref="AE82:AE83"/>
    <mergeCell ref="AF82:AF83"/>
    <mergeCell ref="AG82:AG83"/>
    <mergeCell ref="AH82:AH83"/>
    <mergeCell ref="AI82:AI83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23:B23"/>
    <mergeCell ref="A24:B24"/>
    <mergeCell ref="A25:B25"/>
    <mergeCell ref="A15:B15"/>
    <mergeCell ref="A16:B16"/>
    <mergeCell ref="A17:B17"/>
    <mergeCell ref="A18:B18"/>
    <mergeCell ref="A19:B19"/>
    <mergeCell ref="A26:B26"/>
    <mergeCell ref="A20:B20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114"/>
  <sheetViews>
    <sheetView workbookViewId="0">
      <selection sqref="A1:XFD1048576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38" width="14" customWidth="1"/>
    <col min="39" max="39" width="16" customWidth="1"/>
    <col min="40" max="42" width="14" customWidth="1"/>
    <col min="44" max="44" width="9.42578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43709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4089909.9400000004</v>
      </c>
      <c r="AN8" s="120">
        <f>AN10+AN11+AN12+AN13+AN14</f>
        <v>270159.91000000003</v>
      </c>
      <c r="AO8" s="120">
        <v>0</v>
      </c>
      <c r="AP8" s="120">
        <v>0</v>
      </c>
      <c r="AQ8" s="116">
        <f>AM8/AI8-1</f>
        <v>-0.90338890502418945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30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v>1655578.35</v>
      </c>
      <c r="AN10" s="19">
        <v>10277.11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v>1437002.34</v>
      </c>
      <c r="AN11" s="19">
        <v>158327.54</v>
      </c>
      <c r="AO11" s="19"/>
      <c r="AP11" s="19"/>
      <c r="AQ11" s="34"/>
      <c r="AR11" s="34"/>
    </row>
    <row r="12" spans="1:44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v>997329.25</v>
      </c>
      <c r="AN13" s="19">
        <v>101555.26</v>
      </c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36" t="s">
        <v>48</v>
      </c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1"/>
      <c r="AD15" s="51"/>
      <c r="AE15" s="50"/>
      <c r="AF15" s="50"/>
      <c r="AG15" s="50"/>
      <c r="AH15" s="50"/>
      <c r="AI15" s="51"/>
      <c r="AJ15" s="51"/>
      <c r="AK15" s="51"/>
      <c r="AL15" s="51"/>
      <c r="AM15" s="57">
        <f>AM16+AM17+AM18+AM19+AM20</f>
        <v>38730406.489999995</v>
      </c>
      <c r="AN15" s="57">
        <f>AN16+AN17+AN18+AN19+AN20</f>
        <v>5668454.1500000004</v>
      </c>
      <c r="AO15" s="57">
        <f t="shared" ref="AO15:AP15" si="1">AO16+AO17+AO18+AO19+AO20</f>
        <v>0</v>
      </c>
      <c r="AP15" s="57">
        <f t="shared" si="1"/>
        <v>0</v>
      </c>
      <c r="AQ15" s="55"/>
      <c r="AR15" s="55"/>
    </row>
    <row r="16" spans="1:44" ht="28.5" customHeight="1" x14ac:dyDescent="0.25">
      <c r="A16" s="109" t="s">
        <v>11</v>
      </c>
      <c r="B16" s="11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1"/>
      <c r="AD16" s="51"/>
      <c r="AE16" s="50"/>
      <c r="AF16" s="50"/>
      <c r="AG16" s="50"/>
      <c r="AH16" s="50"/>
      <c r="AI16" s="51"/>
      <c r="AJ16" s="51"/>
      <c r="AK16" s="51"/>
      <c r="AL16" s="51"/>
      <c r="AM16" s="51">
        <f>36182679.21+228295.3</f>
        <v>36410974.509999998</v>
      </c>
      <c r="AN16" s="51">
        <v>5668454.1500000004</v>
      </c>
      <c r="AO16" s="51"/>
      <c r="AP16" s="51"/>
      <c r="AQ16" s="55"/>
      <c r="AR16" s="55"/>
    </row>
    <row r="17" spans="1:44" x14ac:dyDescent="0.25">
      <c r="A17" s="109" t="s">
        <v>8</v>
      </c>
      <c r="B17" s="11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1"/>
      <c r="AD17" s="51"/>
      <c r="AE17" s="50"/>
      <c r="AF17" s="50"/>
      <c r="AG17" s="50"/>
      <c r="AH17" s="50"/>
      <c r="AI17" s="51"/>
      <c r="AJ17" s="51"/>
      <c r="AK17" s="51"/>
      <c r="AL17" s="51"/>
      <c r="AM17" s="51">
        <v>1791756.75</v>
      </c>
      <c r="AN17" s="51"/>
      <c r="AO17" s="51"/>
      <c r="AP17" s="51"/>
      <c r="AQ17" s="55"/>
      <c r="AR17" s="55"/>
    </row>
    <row r="18" spans="1:44" x14ac:dyDescent="0.25">
      <c r="A18" s="109" t="s">
        <v>9</v>
      </c>
      <c r="B18" s="11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1"/>
      <c r="AD18" s="51"/>
      <c r="AE18" s="50"/>
      <c r="AF18" s="50"/>
      <c r="AG18" s="50"/>
      <c r="AH18" s="50"/>
      <c r="AI18" s="51"/>
      <c r="AJ18" s="51"/>
      <c r="AK18" s="51"/>
      <c r="AL18" s="51"/>
      <c r="AM18" s="51"/>
      <c r="AN18" s="51"/>
      <c r="AO18" s="51"/>
      <c r="AP18" s="51"/>
      <c r="AQ18" s="55"/>
      <c r="AR18" s="55"/>
    </row>
    <row r="19" spans="1:44" x14ac:dyDescent="0.25">
      <c r="A19" s="109" t="s">
        <v>10</v>
      </c>
      <c r="B19" s="11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1"/>
      <c r="AD19" s="51"/>
      <c r="AE19" s="50"/>
      <c r="AF19" s="50"/>
      <c r="AG19" s="50"/>
      <c r="AH19" s="50"/>
      <c r="AI19" s="51"/>
      <c r="AJ19" s="51"/>
      <c r="AK19" s="51"/>
      <c r="AL19" s="51"/>
      <c r="AM19" s="51">
        <v>527675.23</v>
      </c>
      <c r="AN19" s="51"/>
      <c r="AO19" s="51"/>
      <c r="AP19" s="51"/>
      <c r="AQ19" s="55"/>
      <c r="AR19" s="55"/>
    </row>
    <row r="20" spans="1:44" x14ac:dyDescent="0.25">
      <c r="A20" s="109" t="s">
        <v>16</v>
      </c>
      <c r="B20" s="1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1"/>
      <c r="AD20" s="51"/>
      <c r="AE20" s="50"/>
      <c r="AF20" s="50"/>
      <c r="AG20" s="50"/>
      <c r="AH20" s="50"/>
      <c r="AI20" s="51"/>
      <c r="AJ20" s="51"/>
      <c r="AK20" s="51"/>
      <c r="AL20" s="51"/>
      <c r="AM20" s="51"/>
      <c r="AN20" s="51"/>
      <c r="AO20" s="51"/>
      <c r="AP20" s="51"/>
      <c r="AQ20" s="55"/>
      <c r="AR20" s="55"/>
    </row>
    <row r="21" spans="1:44" x14ac:dyDescent="0.25">
      <c r="A21" s="136" t="s">
        <v>49</v>
      </c>
      <c r="B21" s="13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1"/>
      <c r="AD21" s="51"/>
      <c r="AE21" s="50"/>
      <c r="AF21" s="50"/>
      <c r="AG21" s="50"/>
      <c r="AH21" s="50"/>
      <c r="AI21" s="51"/>
      <c r="AJ21" s="51"/>
      <c r="AK21" s="51"/>
      <c r="AL21" s="51"/>
      <c r="AM21" s="57">
        <f>AM22+AM23+AM24+AM25+AM26</f>
        <v>1561221.9000000001</v>
      </c>
      <c r="AN21" s="57">
        <f t="shared" ref="AN21:AP21" si="2">AN22+AN23+AN24+AN25+AN26</f>
        <v>0</v>
      </c>
      <c r="AO21" s="57">
        <v>0</v>
      </c>
      <c r="AP21" s="57">
        <f t="shared" si="2"/>
        <v>0</v>
      </c>
      <c r="AQ21" s="55"/>
      <c r="AR21" s="55"/>
    </row>
    <row r="22" spans="1:44" ht="30" customHeight="1" x14ac:dyDescent="0.25">
      <c r="A22" s="109" t="s">
        <v>11</v>
      </c>
      <c r="B22" s="11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1"/>
      <c r="AD22" s="51"/>
      <c r="AE22" s="50"/>
      <c r="AF22" s="50"/>
      <c r="AG22" s="50"/>
      <c r="AH22" s="50"/>
      <c r="AI22" s="51"/>
      <c r="AJ22" s="51"/>
      <c r="AK22" s="51"/>
      <c r="AL22" s="51"/>
      <c r="AM22" s="51">
        <f>1144686.6+25366.2</f>
        <v>1170052.8</v>
      </c>
      <c r="AN22" s="51"/>
      <c r="AO22" s="51">
        <v>0</v>
      </c>
      <c r="AP22" s="51"/>
      <c r="AQ22" s="55"/>
      <c r="AR22" s="55"/>
    </row>
    <row r="23" spans="1:44" x14ac:dyDescent="0.25">
      <c r="A23" s="109" t="s">
        <v>8</v>
      </c>
      <c r="B23" s="11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1"/>
      <c r="AD23" s="51"/>
      <c r="AE23" s="50"/>
      <c r="AF23" s="50"/>
      <c r="AG23" s="50"/>
      <c r="AH23" s="50"/>
      <c r="AI23" s="51"/>
      <c r="AJ23" s="51"/>
      <c r="AK23" s="51"/>
      <c r="AL23" s="51"/>
      <c r="AM23" s="51">
        <v>247706.38</v>
      </c>
      <c r="AN23" s="51"/>
      <c r="AO23" s="51"/>
      <c r="AP23" s="51"/>
      <c r="AQ23" s="55"/>
      <c r="AR23" s="55"/>
    </row>
    <row r="24" spans="1:44" x14ac:dyDescent="0.25">
      <c r="A24" s="109" t="s">
        <v>9</v>
      </c>
      <c r="B24" s="11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1"/>
      <c r="AD24" s="51"/>
      <c r="AE24" s="50"/>
      <c r="AF24" s="50"/>
      <c r="AG24" s="50"/>
      <c r="AH24" s="50"/>
      <c r="AI24" s="51"/>
      <c r="AJ24" s="51"/>
      <c r="AK24" s="51"/>
      <c r="AL24" s="51"/>
      <c r="AM24" s="51"/>
      <c r="AN24" s="51"/>
      <c r="AO24" s="51"/>
      <c r="AP24" s="51"/>
      <c r="AQ24" s="55"/>
      <c r="AR24" s="55"/>
    </row>
    <row r="25" spans="1:44" x14ac:dyDescent="0.25">
      <c r="A25" s="109" t="s">
        <v>10</v>
      </c>
      <c r="B25" s="1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1"/>
      <c r="AD25" s="51"/>
      <c r="AE25" s="50"/>
      <c r="AF25" s="50"/>
      <c r="AG25" s="50"/>
      <c r="AH25" s="50"/>
      <c r="AI25" s="51"/>
      <c r="AJ25" s="51"/>
      <c r="AK25" s="51"/>
      <c r="AL25" s="51"/>
      <c r="AM25" s="51">
        <v>143462.72</v>
      </c>
      <c r="AN25" s="51"/>
      <c r="AO25" s="51"/>
      <c r="AP25" s="51"/>
      <c r="AQ25" s="55"/>
      <c r="AR25" s="55"/>
    </row>
    <row r="26" spans="1:44" x14ac:dyDescent="0.25">
      <c r="A26" s="109" t="s">
        <v>16</v>
      </c>
      <c r="B26" s="1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1"/>
      <c r="AD26" s="51"/>
      <c r="AE26" s="50"/>
      <c r="AF26" s="50"/>
      <c r="AG26" s="50"/>
      <c r="AH26" s="50"/>
      <c r="AI26" s="51"/>
      <c r="AJ26" s="51"/>
      <c r="AK26" s="51"/>
      <c r="AL26" s="51"/>
      <c r="AM26" s="51"/>
      <c r="AN26" s="51"/>
      <c r="AO26" s="51"/>
      <c r="AP26" s="51"/>
      <c r="AQ26" s="55"/>
      <c r="AR26" s="55"/>
    </row>
    <row r="27" spans="1:44" x14ac:dyDescent="0.25">
      <c r="A27" s="136" t="s">
        <v>50</v>
      </c>
      <c r="B27" s="1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1"/>
      <c r="AD27" s="51"/>
      <c r="AE27" s="50"/>
      <c r="AF27" s="50"/>
      <c r="AG27" s="50"/>
      <c r="AH27" s="50"/>
      <c r="AI27" s="51"/>
      <c r="AJ27" s="51"/>
      <c r="AK27" s="51"/>
      <c r="AL27" s="51"/>
      <c r="AM27" s="57">
        <f>AM28+AM29+AM30+AM31+AM32</f>
        <v>311431.39</v>
      </c>
      <c r="AN27" s="57">
        <f t="shared" ref="AN27:AP27" si="3">AN28+AN29+AN30+AN31+AN32</f>
        <v>0</v>
      </c>
      <c r="AO27" s="57">
        <f t="shared" si="3"/>
        <v>0</v>
      </c>
      <c r="AP27" s="57">
        <f t="shared" si="3"/>
        <v>0</v>
      </c>
      <c r="AQ27" s="55"/>
      <c r="AR27" s="55"/>
    </row>
    <row r="28" spans="1:44" ht="30" customHeight="1" x14ac:dyDescent="0.25">
      <c r="A28" s="109" t="s">
        <v>11</v>
      </c>
      <c r="B28" s="1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1"/>
      <c r="AD28" s="51"/>
      <c r="AE28" s="50"/>
      <c r="AF28" s="50"/>
      <c r="AG28" s="50"/>
      <c r="AH28" s="50"/>
      <c r="AI28" s="51"/>
      <c r="AJ28" s="51"/>
      <c r="AK28" s="51"/>
      <c r="AL28" s="51"/>
      <c r="AM28" s="51">
        <v>0</v>
      </c>
      <c r="AN28" s="51"/>
      <c r="AO28" s="51"/>
      <c r="AP28" s="51"/>
      <c r="AQ28" s="55"/>
      <c r="AR28" s="55"/>
    </row>
    <row r="29" spans="1:44" x14ac:dyDescent="0.25">
      <c r="A29" s="109" t="s">
        <v>8</v>
      </c>
      <c r="B29" s="1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1"/>
      <c r="AD29" s="51"/>
      <c r="AE29" s="50"/>
      <c r="AF29" s="50"/>
      <c r="AG29" s="50"/>
      <c r="AH29" s="50"/>
      <c r="AI29" s="51"/>
      <c r="AJ29" s="51"/>
      <c r="AK29" s="51"/>
      <c r="AL29" s="51"/>
      <c r="AM29" s="51">
        <v>205572.73</v>
      </c>
      <c r="AN29" s="51"/>
      <c r="AO29" s="51"/>
      <c r="AP29" s="51"/>
      <c r="AQ29" s="55"/>
      <c r="AR29" s="55"/>
    </row>
    <row r="30" spans="1:44" x14ac:dyDescent="0.25">
      <c r="A30" s="109" t="s">
        <v>9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1"/>
      <c r="AD30" s="51"/>
      <c r="AE30" s="50"/>
      <c r="AF30" s="50"/>
      <c r="AG30" s="50"/>
      <c r="AH30" s="50"/>
      <c r="AI30" s="51"/>
      <c r="AJ30" s="51"/>
      <c r="AK30" s="51"/>
      <c r="AL30" s="51"/>
      <c r="AM30" s="51"/>
      <c r="AN30" s="51"/>
      <c r="AO30" s="51"/>
      <c r="AP30" s="51"/>
      <c r="AQ30" s="55"/>
      <c r="AR30" s="55"/>
    </row>
    <row r="31" spans="1:44" x14ac:dyDescent="0.25">
      <c r="A31" s="109" t="s">
        <v>10</v>
      </c>
      <c r="B31" s="110"/>
      <c r="C31" s="56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1"/>
      <c r="AD31" s="51"/>
      <c r="AE31" s="50"/>
      <c r="AF31" s="50"/>
      <c r="AG31" s="50"/>
      <c r="AH31" s="50"/>
      <c r="AI31" s="51"/>
      <c r="AJ31" s="51"/>
      <c r="AK31" s="51"/>
      <c r="AL31" s="51"/>
      <c r="AM31" s="51">
        <v>99408.66</v>
      </c>
      <c r="AN31" s="51"/>
      <c r="AO31" s="51"/>
      <c r="AP31" s="51"/>
      <c r="AQ31" s="55"/>
      <c r="AR31" s="55"/>
    </row>
    <row r="32" spans="1:44" x14ac:dyDescent="0.25">
      <c r="A32" s="109" t="s">
        <v>16</v>
      </c>
      <c r="B32" s="11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1"/>
      <c r="AD32" s="51"/>
      <c r="AE32" s="50"/>
      <c r="AF32" s="50"/>
      <c r="AG32" s="50"/>
      <c r="AH32" s="50"/>
      <c r="AI32" s="51"/>
      <c r="AJ32" s="51"/>
      <c r="AK32" s="51"/>
      <c r="AL32" s="51"/>
      <c r="AM32" s="51">
        <v>6450</v>
      </c>
      <c r="AN32" s="51"/>
      <c r="AO32" s="51"/>
      <c r="AP32" s="51"/>
      <c r="AQ32" s="55"/>
      <c r="AR32" s="55"/>
    </row>
    <row r="33" spans="1:47" x14ac:dyDescent="0.25">
      <c r="A33" s="111" t="s">
        <v>1</v>
      </c>
      <c r="B33" s="112"/>
      <c r="C33" s="115">
        <f>SUM(C35:C39)</f>
        <v>0</v>
      </c>
      <c r="D33" s="115">
        <f>SUM(D35:D39)</f>
        <v>0</v>
      </c>
      <c r="E33" s="115">
        <f t="shared" ref="E33:AD33" si="4">SUM(E35:E39)</f>
        <v>35747.5</v>
      </c>
      <c r="F33" s="115">
        <f t="shared" si="4"/>
        <v>0</v>
      </c>
      <c r="G33" s="115">
        <f t="shared" si="4"/>
        <v>0</v>
      </c>
      <c r="H33" s="115">
        <f t="shared" si="4"/>
        <v>0</v>
      </c>
      <c r="I33" s="115">
        <f t="shared" si="4"/>
        <v>0</v>
      </c>
      <c r="J33" s="115">
        <f t="shared" si="4"/>
        <v>0</v>
      </c>
      <c r="K33" s="115">
        <f t="shared" si="4"/>
        <v>120756.41</v>
      </c>
      <c r="L33" s="115">
        <f t="shared" si="4"/>
        <v>0</v>
      </c>
      <c r="M33" s="115">
        <f t="shared" si="4"/>
        <v>144077.24</v>
      </c>
      <c r="N33" s="115">
        <f t="shared" si="4"/>
        <v>0</v>
      </c>
      <c r="O33" s="115">
        <f t="shared" si="4"/>
        <v>122267.09</v>
      </c>
      <c r="P33" s="115">
        <f t="shared" si="4"/>
        <v>0</v>
      </c>
      <c r="Q33" s="115">
        <f t="shared" si="4"/>
        <v>81760.240000000005</v>
      </c>
      <c r="R33" s="115">
        <f t="shared" si="4"/>
        <v>0</v>
      </c>
      <c r="S33" s="115">
        <f t="shared" si="4"/>
        <v>68067.33</v>
      </c>
      <c r="T33" s="115">
        <f t="shared" si="4"/>
        <v>0</v>
      </c>
      <c r="U33" s="115">
        <f t="shared" si="4"/>
        <v>61711.68</v>
      </c>
      <c r="V33" s="115">
        <f t="shared" si="4"/>
        <v>0</v>
      </c>
      <c r="W33" s="115">
        <f t="shared" si="4"/>
        <v>0</v>
      </c>
      <c r="X33" s="115">
        <f t="shared" si="4"/>
        <v>0</v>
      </c>
      <c r="Y33" s="115">
        <f t="shared" si="4"/>
        <v>217.78</v>
      </c>
      <c r="Z33" s="115">
        <f t="shared" si="4"/>
        <v>0</v>
      </c>
      <c r="AA33" s="128">
        <f t="shared" si="4"/>
        <v>187710.37</v>
      </c>
      <c r="AB33" s="128">
        <f t="shared" si="4"/>
        <v>0</v>
      </c>
      <c r="AC33" s="128">
        <f t="shared" si="4"/>
        <v>333233.98</v>
      </c>
      <c r="AD33" s="128">
        <f t="shared" si="4"/>
        <v>0</v>
      </c>
      <c r="AE33" s="126">
        <f t="shared" ref="AE33:AL33" si="5">AE35+AE36+AE37+AE38+AE39</f>
        <v>667959.52</v>
      </c>
      <c r="AF33" s="126">
        <f t="shared" si="5"/>
        <v>0</v>
      </c>
      <c r="AG33" s="126">
        <f t="shared" si="5"/>
        <v>94034.71</v>
      </c>
      <c r="AH33" s="126">
        <f t="shared" si="5"/>
        <v>0</v>
      </c>
      <c r="AI33" s="122">
        <f t="shared" si="5"/>
        <v>797761.55</v>
      </c>
      <c r="AJ33" s="122">
        <f t="shared" si="5"/>
        <v>0</v>
      </c>
      <c r="AK33" s="122">
        <v>0</v>
      </c>
      <c r="AL33" s="122">
        <f t="shared" si="5"/>
        <v>0</v>
      </c>
      <c r="AM33" s="122">
        <f>AM35+AM36+AM37+AM38+AM39</f>
        <v>468570.13</v>
      </c>
      <c r="AN33" s="122">
        <f>AN35+AN36+AN37+AN38+AN39</f>
        <v>0</v>
      </c>
      <c r="AO33" s="122">
        <f>AO35+AO36+AO37+AO38+AO39</f>
        <v>0</v>
      </c>
      <c r="AP33" s="122">
        <f>AP35+AP36+AP37+AP38+AP39</f>
        <v>0</v>
      </c>
      <c r="AQ33" s="116">
        <f>AM33/AI33-1</f>
        <v>-0.41264387836189897</v>
      </c>
      <c r="AR33" s="116" t="e">
        <f>AO33/AK33-1</f>
        <v>#DIV/0!</v>
      </c>
    </row>
    <row r="34" spans="1:47" x14ac:dyDescent="0.25">
      <c r="A34" s="113"/>
      <c r="B34" s="114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5"/>
      <c r="AB34" s="125"/>
      <c r="AC34" s="125"/>
      <c r="AD34" s="125"/>
      <c r="AE34" s="127"/>
      <c r="AF34" s="127"/>
      <c r="AG34" s="127"/>
      <c r="AH34" s="127"/>
      <c r="AI34" s="123"/>
      <c r="AJ34" s="123"/>
      <c r="AK34" s="123"/>
      <c r="AL34" s="123"/>
      <c r="AM34" s="123"/>
      <c r="AN34" s="123"/>
      <c r="AO34" s="123"/>
      <c r="AP34" s="123"/>
      <c r="AQ34" s="117"/>
      <c r="AR34" s="117"/>
    </row>
    <row r="35" spans="1:47" ht="45.75" customHeight="1" x14ac:dyDescent="0.25">
      <c r="A35" s="109" t="s">
        <v>11</v>
      </c>
      <c r="B35" s="110"/>
      <c r="C35" s="2"/>
      <c r="D35" s="2"/>
      <c r="E35" s="2">
        <v>35747.5</v>
      </c>
      <c r="F35" s="2"/>
      <c r="G35" s="2"/>
      <c r="H35" s="2"/>
      <c r="I35" s="2"/>
      <c r="J35" s="2"/>
      <c r="K35" s="2">
        <v>120756.41</v>
      </c>
      <c r="L35" s="2"/>
      <c r="M35" s="2">
        <v>144077.24</v>
      </c>
      <c r="N35" s="2"/>
      <c r="O35" s="2">
        <v>122267.09</v>
      </c>
      <c r="P35" s="2"/>
      <c r="Q35" s="2">
        <v>67770.240000000005</v>
      </c>
      <c r="R35" s="2"/>
      <c r="S35" s="2">
        <f>65281.19+2786.14</f>
        <v>68067.33</v>
      </c>
      <c r="T35" s="2"/>
      <c r="U35" s="2">
        <v>61711.68</v>
      </c>
      <c r="V35" s="2"/>
      <c r="W35" s="2"/>
      <c r="X35" s="2"/>
      <c r="Y35" s="2">
        <v>217.78</v>
      </c>
      <c r="Z35" s="2"/>
      <c r="AA35" s="16">
        <v>35</v>
      </c>
      <c r="AB35" s="16"/>
      <c r="AC35" s="16">
        <f>27611.35+117602.07</f>
        <v>145213.42000000001</v>
      </c>
      <c r="AD35" s="13"/>
      <c r="AE35" s="23">
        <f>56332.86+251324.18</f>
        <v>307657.03999999998</v>
      </c>
      <c r="AF35" s="13"/>
      <c r="AG35" s="23">
        <f>3600+90434.71</f>
        <v>94034.71</v>
      </c>
      <c r="AH35" s="23"/>
      <c r="AI35" s="16">
        <f>30567.15+190377.23</f>
        <v>220944.38</v>
      </c>
      <c r="AJ35" s="16"/>
      <c r="AK35" s="16"/>
      <c r="AL35" s="16"/>
      <c r="AM35" s="16">
        <f>24483.62+73726.43</f>
        <v>98210.049999999988</v>
      </c>
      <c r="AN35" s="16"/>
      <c r="AO35" s="16"/>
      <c r="AP35" s="16"/>
      <c r="AQ35" s="24"/>
      <c r="AR35" s="24"/>
    </row>
    <row r="36" spans="1:47" ht="15.75" customHeight="1" x14ac:dyDescent="0.25">
      <c r="A36" s="109" t="s">
        <v>8</v>
      </c>
      <c r="B36" s="1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>
        <v>172262.37</v>
      </c>
      <c r="AB36" s="16"/>
      <c r="AC36" s="16">
        <v>188020.56</v>
      </c>
      <c r="AD36" s="13"/>
      <c r="AE36" s="23">
        <v>225161</v>
      </c>
      <c r="AF36" s="13"/>
      <c r="AG36" s="13"/>
      <c r="AH36" s="13"/>
      <c r="AI36" s="16">
        <v>372715</v>
      </c>
      <c r="AJ36" s="16"/>
      <c r="AK36" s="16"/>
      <c r="AL36" s="16"/>
      <c r="AM36" s="16">
        <v>201884.34</v>
      </c>
      <c r="AN36" s="16"/>
      <c r="AO36" s="16"/>
      <c r="AP36" s="16"/>
      <c r="AQ36" s="24"/>
      <c r="AR36" s="24"/>
    </row>
    <row r="37" spans="1:47" ht="28.5" customHeight="1" x14ac:dyDescent="0.25">
      <c r="A37" s="109" t="s">
        <v>9</v>
      </c>
      <c r="B37" s="1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3"/>
      <c r="AD37" s="13"/>
      <c r="AE37" s="23"/>
      <c r="AF37" s="13"/>
      <c r="AG37" s="13"/>
      <c r="AH37" s="13"/>
      <c r="AI37" s="16"/>
      <c r="AJ37" s="16"/>
      <c r="AK37" s="16"/>
      <c r="AL37" s="16"/>
      <c r="AM37" s="16"/>
      <c r="AN37" s="16"/>
      <c r="AO37" s="16"/>
      <c r="AP37" s="16"/>
      <c r="AQ37" s="24"/>
      <c r="AR37" s="24"/>
    </row>
    <row r="38" spans="1:47" ht="18" customHeight="1" x14ac:dyDescent="0.25">
      <c r="A38" s="109" t="s">
        <v>10</v>
      </c>
      <c r="B38" s="1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13990</v>
      </c>
      <c r="R38" s="2"/>
      <c r="S38" s="2"/>
      <c r="T38" s="2"/>
      <c r="U38" s="2"/>
      <c r="V38" s="2"/>
      <c r="W38" s="2"/>
      <c r="X38" s="2"/>
      <c r="Y38" s="2"/>
      <c r="Z38" s="2"/>
      <c r="AA38" s="16">
        <v>15413</v>
      </c>
      <c r="AB38" s="16"/>
      <c r="AC38" s="13"/>
      <c r="AD38" s="13"/>
      <c r="AE38" s="23">
        <v>135141.48000000001</v>
      </c>
      <c r="AF38" s="13"/>
      <c r="AG38" s="13"/>
      <c r="AH38" s="13"/>
      <c r="AI38" s="16">
        <v>204102.17</v>
      </c>
      <c r="AJ38" s="16"/>
      <c r="AK38" s="16"/>
      <c r="AL38" s="16"/>
      <c r="AM38" s="16">
        <v>168475.74</v>
      </c>
      <c r="AN38" s="16"/>
      <c r="AO38" s="16"/>
      <c r="AP38" s="16"/>
      <c r="AQ38" s="24"/>
      <c r="AR38" s="24"/>
    </row>
    <row r="39" spans="1:47" ht="30.75" customHeight="1" x14ac:dyDescent="0.25">
      <c r="A39" s="109" t="s">
        <v>16</v>
      </c>
      <c r="B39" s="1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3"/>
      <c r="AD39" s="13"/>
      <c r="AE39" s="13"/>
      <c r="AF39" s="13"/>
      <c r="AG39" s="13"/>
      <c r="AH39" s="13"/>
      <c r="AI39" s="16"/>
      <c r="AJ39" s="16"/>
      <c r="AK39" s="16"/>
      <c r="AL39" s="16"/>
      <c r="AM39" s="13"/>
      <c r="AN39" s="13"/>
      <c r="AO39" s="13"/>
      <c r="AP39" s="13"/>
      <c r="AQ39" s="31"/>
      <c r="AR39" s="31"/>
    </row>
    <row r="40" spans="1:47" x14ac:dyDescent="0.25">
      <c r="A40" s="111" t="s">
        <v>2</v>
      </c>
      <c r="B40" s="112"/>
      <c r="C40" s="115">
        <v>54846675.530000001</v>
      </c>
      <c r="D40" s="115">
        <v>48940486.590000004</v>
      </c>
      <c r="E40" s="115">
        <f>SUM(E42:E46)</f>
        <v>64656891.350000001</v>
      </c>
      <c r="F40" s="115">
        <f>SUM(F42:F46)</f>
        <v>51440732.669999994</v>
      </c>
      <c r="G40" s="115">
        <f t="shared" ref="G40:AD40" si="6">SUM(G42:G46)</f>
        <v>69207433.140000001</v>
      </c>
      <c r="H40" s="115">
        <f t="shared" si="6"/>
        <v>50454846.649999999</v>
      </c>
      <c r="I40" s="115">
        <f t="shared" si="6"/>
        <v>70742852.230000004</v>
      </c>
      <c r="J40" s="115">
        <f t="shared" si="6"/>
        <v>55024116.890000001</v>
      </c>
      <c r="K40" s="115">
        <f t="shared" si="6"/>
        <v>70605066.099999994</v>
      </c>
      <c r="L40" s="115">
        <f t="shared" si="6"/>
        <v>57943952.730000004</v>
      </c>
      <c r="M40" s="115">
        <f t="shared" si="6"/>
        <v>73371785.549999997</v>
      </c>
      <c r="N40" s="115">
        <f t="shared" si="6"/>
        <v>57519633.82</v>
      </c>
      <c r="O40" s="115">
        <f t="shared" si="6"/>
        <v>69857012.25</v>
      </c>
      <c r="P40" s="115">
        <f t="shared" si="6"/>
        <v>65548817.789999999</v>
      </c>
      <c r="Q40" s="115">
        <f t="shared" si="6"/>
        <v>71509757.569999993</v>
      </c>
      <c r="R40" s="115">
        <f t="shared" si="6"/>
        <v>57862859.439999998</v>
      </c>
      <c r="S40" s="115">
        <f t="shared" si="6"/>
        <v>71486946.959999993</v>
      </c>
      <c r="T40" s="115">
        <f t="shared" si="6"/>
        <v>57789918.439999998</v>
      </c>
      <c r="U40" s="115">
        <f t="shared" si="6"/>
        <v>70592079.479999989</v>
      </c>
      <c r="V40" s="115">
        <f t="shared" si="6"/>
        <v>61579945.239999995</v>
      </c>
      <c r="W40" s="115">
        <f t="shared" si="6"/>
        <v>66866461.460000001</v>
      </c>
      <c r="X40" s="115">
        <f t="shared" si="6"/>
        <v>57735277.960000001</v>
      </c>
      <c r="Y40" s="115">
        <f t="shared" si="6"/>
        <v>103038065.23999999</v>
      </c>
      <c r="Z40" s="115">
        <f t="shared" si="6"/>
        <v>90836160.789999992</v>
      </c>
      <c r="AA40" s="128">
        <f t="shared" si="6"/>
        <v>56387437.119999997</v>
      </c>
      <c r="AB40" s="128">
        <f t="shared" si="6"/>
        <v>15533763.189999999</v>
      </c>
      <c r="AC40" s="128">
        <f t="shared" si="6"/>
        <v>119943838.53</v>
      </c>
      <c r="AD40" s="128">
        <f t="shared" si="6"/>
        <v>72448338.349999994</v>
      </c>
      <c r="AE40" s="126">
        <f t="shared" ref="AE40:AL40" si="7">AE42+AE43+AE44+AE45+AE46</f>
        <v>98597337.969999999</v>
      </c>
      <c r="AF40" s="126">
        <f t="shared" si="7"/>
        <v>28249113.57</v>
      </c>
      <c r="AG40" s="126">
        <f t="shared" si="7"/>
        <v>52538002.529999994</v>
      </c>
      <c r="AH40" s="126">
        <f t="shared" si="7"/>
        <v>0</v>
      </c>
      <c r="AI40" s="122">
        <f t="shared" si="7"/>
        <v>63217359.389999993</v>
      </c>
      <c r="AJ40" s="122">
        <f t="shared" si="7"/>
        <v>27862807.449999999</v>
      </c>
      <c r="AK40" s="122">
        <f t="shared" si="7"/>
        <v>9411597.2899999991</v>
      </c>
      <c r="AL40" s="122">
        <f t="shared" si="7"/>
        <v>0</v>
      </c>
      <c r="AM40" s="122">
        <f>AM42+AM43+AM44+AM45+AM46</f>
        <v>49830394.640000001</v>
      </c>
      <c r="AN40" s="122">
        <f>AN42+AN43+AN44+AN45+AN46</f>
        <v>20512113.23</v>
      </c>
      <c r="AO40" s="122">
        <f>AO42+AO43+AO44+AO45+AO46</f>
        <v>5860802.9699999997</v>
      </c>
      <c r="AP40" s="122">
        <f>AP42+AP43+AP44+AP45+AP46</f>
        <v>0</v>
      </c>
      <c r="AQ40" s="116">
        <f>AM40/AI40-1</f>
        <v>-0.21176089731007652</v>
      </c>
      <c r="AR40" s="116">
        <f>AO40/AK40-1</f>
        <v>-0.37727860750829045</v>
      </c>
    </row>
    <row r="41" spans="1:47" ht="12" customHeight="1" x14ac:dyDescent="0.25">
      <c r="A41" s="113"/>
      <c r="B41" s="114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25"/>
      <c r="AB41" s="125"/>
      <c r="AC41" s="125"/>
      <c r="AD41" s="125"/>
      <c r="AE41" s="127"/>
      <c r="AF41" s="127"/>
      <c r="AG41" s="127"/>
      <c r="AH41" s="127"/>
      <c r="AI41" s="123"/>
      <c r="AJ41" s="123"/>
      <c r="AK41" s="123"/>
      <c r="AL41" s="123"/>
      <c r="AM41" s="123"/>
      <c r="AN41" s="123"/>
      <c r="AO41" s="123"/>
      <c r="AP41" s="123"/>
      <c r="AQ41" s="117"/>
      <c r="AR41" s="117"/>
    </row>
    <row r="42" spans="1:47" ht="43.5" customHeight="1" x14ac:dyDescent="0.25">
      <c r="A42" s="109" t="s">
        <v>11</v>
      </c>
      <c r="B42" s="110"/>
      <c r="C42" s="2"/>
      <c r="D42" s="2"/>
      <c r="E42" s="2">
        <v>10110055.9</v>
      </c>
      <c r="F42" s="2">
        <f>51442088.62-49312861.59</f>
        <v>2129227.0299999937</v>
      </c>
      <c r="G42" s="2">
        <v>10146692.35</v>
      </c>
      <c r="H42" s="2">
        <v>2129227.0299999998</v>
      </c>
      <c r="I42" s="2">
        <v>14616479.76</v>
      </c>
      <c r="J42" s="2">
        <v>2129227.0299999998</v>
      </c>
      <c r="K42" s="2">
        <v>7843217.96</v>
      </c>
      <c r="L42" s="2">
        <v>2129227.0299999998</v>
      </c>
      <c r="M42" s="2">
        <v>7533070</v>
      </c>
      <c r="N42" s="2">
        <v>2129227.0299999998</v>
      </c>
      <c r="O42" s="2">
        <v>6652443.1100000003</v>
      </c>
      <c r="P42" s="2">
        <v>2344248.65</v>
      </c>
      <c r="Q42" s="2">
        <f>8677372.77+42645.25</f>
        <v>8720018.0199999996</v>
      </c>
      <c r="R42" s="2">
        <f>2344248.65</f>
        <v>2344248.65</v>
      </c>
      <c r="S42" s="2">
        <f>69747.65+9218096.72</f>
        <v>9287844.370000001</v>
      </c>
      <c r="T42" s="2">
        <v>2271307.65</v>
      </c>
      <c r="U42" s="2">
        <f>94170.06+10964271.83</f>
        <v>11058441.890000001</v>
      </c>
      <c r="V42" s="2">
        <f>2046307.65</f>
        <v>2046307.65</v>
      </c>
      <c r="W42" s="2">
        <f>11194823.81+98358.34</f>
        <v>11293182.15</v>
      </c>
      <c r="X42" s="2">
        <f>2161998.65</f>
        <v>2161998.65</v>
      </c>
      <c r="Y42" s="2">
        <v>13594212.15</v>
      </c>
      <c r="Z42" s="2">
        <v>4751435.4800000004</v>
      </c>
      <c r="AA42" s="16">
        <f>77325.12+12375433.35</f>
        <v>12452758.469999999</v>
      </c>
      <c r="AB42" s="16">
        <v>1634678.03</v>
      </c>
      <c r="AC42" s="16">
        <f>263374.33+25371454.14</f>
        <v>25634828.469999999</v>
      </c>
      <c r="AD42" s="16">
        <v>7111498.0199999996</v>
      </c>
      <c r="AE42" s="23">
        <f>361338.29+22200823.79</f>
        <v>22562162.079999998</v>
      </c>
      <c r="AF42" s="23">
        <v>1203080.3799999999</v>
      </c>
      <c r="AG42" s="23">
        <f>223320.42+7979287.52</f>
        <v>8202607.9399999995</v>
      </c>
      <c r="AH42" s="13"/>
      <c r="AI42" s="16">
        <f>58898.5+5757823.28+84105.04+8232493.31</f>
        <v>14133320.129999999</v>
      </c>
      <c r="AJ42" s="16">
        <f>58898.5+84105.04</f>
        <v>143003.53999999998</v>
      </c>
      <c r="AK42" s="16">
        <v>1077110.1399999999</v>
      </c>
      <c r="AL42" s="16"/>
      <c r="AM42" s="16">
        <f>6817325.7+7428093.26</f>
        <v>14245418.960000001</v>
      </c>
      <c r="AN42" s="16">
        <f>149958.01+263482.04</f>
        <v>413440.05</v>
      </c>
      <c r="AO42" s="16">
        <v>220343.81</v>
      </c>
      <c r="AP42" s="16"/>
      <c r="AQ42" s="24"/>
      <c r="AR42" s="24"/>
      <c r="AU42" s="30"/>
    </row>
    <row r="43" spans="1:47" ht="18" customHeight="1" x14ac:dyDescent="0.25">
      <c r="A43" s="109" t="s">
        <v>8</v>
      </c>
      <c r="B43" s="1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6">
        <f>774524.11+20097533.72</f>
        <v>20872057.829999998</v>
      </c>
      <c r="AB43" s="16"/>
      <c r="AC43" s="16">
        <f>815882.11+24539657.77</f>
        <v>25355539.879999999</v>
      </c>
      <c r="AD43" s="16"/>
      <c r="AE43" s="23">
        <f>826423.25+23317982.32</f>
        <v>24144405.57</v>
      </c>
      <c r="AF43" s="23">
        <v>16922780.550000001</v>
      </c>
      <c r="AG43" s="23"/>
      <c r="AH43" s="13"/>
      <c r="AI43" s="16">
        <f>6636427.13+2761581.99+10175763.76+5190667.21</f>
        <v>24764440.090000004</v>
      </c>
      <c r="AJ43" s="16">
        <f>6636427.13+10175763.76</f>
        <v>16812190.890000001</v>
      </c>
      <c r="AK43" s="16"/>
      <c r="AL43" s="16"/>
      <c r="AM43" s="16">
        <f>8009517.16+10662149.64</f>
        <v>18671666.800000001</v>
      </c>
      <c r="AN43" s="16">
        <f>5642007.36+7651418.03</f>
        <v>13293425.390000001</v>
      </c>
      <c r="AO43" s="16"/>
      <c r="AP43" s="16"/>
      <c r="AQ43" s="24"/>
      <c r="AR43" s="24"/>
    </row>
    <row r="44" spans="1:47" ht="44.25" customHeight="1" x14ac:dyDescent="0.25">
      <c r="A44" s="109" t="s">
        <v>9</v>
      </c>
      <c r="B44" s="110"/>
      <c r="C44" s="2"/>
      <c r="D44" s="2"/>
      <c r="E44" s="2">
        <v>4317281.3899999997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3356790.95</v>
      </c>
      <c r="Z44" s="2"/>
      <c r="AA44" s="16">
        <f>511757.59+6814505.62</f>
        <v>7326263.21</v>
      </c>
      <c r="AB44" s="16"/>
      <c r="AC44" s="16">
        <f>484038.54+11956133.92</f>
        <v>12440172.459999999</v>
      </c>
      <c r="AD44" s="16">
        <v>10626588</v>
      </c>
      <c r="AE44" s="23">
        <f>871920.5+16450579.56</f>
        <v>17322500.060000002</v>
      </c>
      <c r="AF44" s="23">
        <v>10123252.640000001</v>
      </c>
      <c r="AG44" s="23">
        <f>353493.68+11501508.54</f>
        <v>11855002.219999999</v>
      </c>
      <c r="AH44" s="13"/>
      <c r="AI44" s="16">
        <f>4846101.83+2549979.72+3834472.6+2522828.53</f>
        <v>13753382.68</v>
      </c>
      <c r="AJ44" s="16">
        <f>4846101.83+3834472.6</f>
        <v>8680574.4299999997</v>
      </c>
      <c r="AK44" s="16"/>
      <c r="AL44" s="16"/>
      <c r="AM44" s="16">
        <f>6020002.37+4278820.76</f>
        <v>10298823.129999999</v>
      </c>
      <c r="AN44" s="16">
        <f>3964298.79+2783507.63</f>
        <v>6747806.4199999999</v>
      </c>
      <c r="AO44" s="16"/>
      <c r="AP44" s="16"/>
      <c r="AQ44" s="24"/>
      <c r="AR44" s="24"/>
    </row>
    <row r="45" spans="1:47" ht="16.899999999999999" customHeight="1" x14ac:dyDescent="0.25">
      <c r="A45" s="109" t="s">
        <v>10</v>
      </c>
      <c r="B45" s="110"/>
      <c r="C45" s="2"/>
      <c r="D45" s="2"/>
      <c r="E45" s="2">
        <v>50229554.060000002</v>
      </c>
      <c r="F45" s="2">
        <v>49311505.640000001</v>
      </c>
      <c r="G45" s="2">
        <f>54914409.14+4146331.65</f>
        <v>59060740.789999999</v>
      </c>
      <c r="H45" s="2">
        <f>4092516+44233103.62</f>
        <v>48325619.619999997</v>
      </c>
      <c r="I45" s="2">
        <f>4125519+52000853.47</f>
        <v>56126372.469999999</v>
      </c>
      <c r="J45" s="2">
        <f>4092516+48802373.86</f>
        <v>52894889.859999999</v>
      </c>
      <c r="K45" s="2">
        <f>4106722+58655126.14</f>
        <v>62761848.140000001</v>
      </c>
      <c r="L45" s="2">
        <f>4092516+51722209.7</f>
        <v>55814725.700000003</v>
      </c>
      <c r="M45" s="2">
        <f>3726327.65+62112387.9</f>
        <v>65838715.549999997</v>
      </c>
      <c r="N45" s="2">
        <f>51679075.14+3711331.65</f>
        <v>55390406.789999999</v>
      </c>
      <c r="O45" s="2">
        <f>3292052+59912517.14</f>
        <v>63204569.140000001</v>
      </c>
      <c r="P45" s="2">
        <f>3292052+59912517.14</f>
        <v>63204569.140000001</v>
      </c>
      <c r="Q45" s="2">
        <f>59493077.9+3296661.65</f>
        <v>62789739.549999997</v>
      </c>
      <c r="R45" s="2">
        <f>3296661.65+52221949.14</f>
        <v>55518610.789999999</v>
      </c>
      <c r="S45" s="2">
        <f>58887656.94+3311445.65</f>
        <v>62199102.589999996</v>
      </c>
      <c r="T45" s="2">
        <f>3296661.65+52221949.14</f>
        <v>55518610.789999999</v>
      </c>
      <c r="U45" s="2">
        <f>56222191.94+3311445.65</f>
        <v>59533637.589999996</v>
      </c>
      <c r="V45" s="2">
        <f>3311445.65+56222191.94</f>
        <v>59533637.589999996</v>
      </c>
      <c r="W45" s="2">
        <f>1281078.35+54292200.96</f>
        <v>55573279.310000002</v>
      </c>
      <c r="X45" s="2">
        <f>54292200.96+1281078.35</f>
        <v>55573279.310000002</v>
      </c>
      <c r="Y45" s="2">
        <v>55305512.479999997</v>
      </c>
      <c r="Z45" s="2">
        <v>55305512.479999997</v>
      </c>
      <c r="AA45" s="16">
        <v>12430432.640000001</v>
      </c>
      <c r="AB45" s="16">
        <v>12430432.640000001</v>
      </c>
      <c r="AC45" s="16">
        <v>19001954.52</v>
      </c>
      <c r="AD45" s="16">
        <v>19001954.52</v>
      </c>
      <c r="AE45" s="23">
        <f>8958+7347927.08</f>
        <v>7356885.0800000001</v>
      </c>
      <c r="AF45" s="13"/>
      <c r="AG45" s="23">
        <f>8958+6907494.08</f>
        <v>6916452.0800000001</v>
      </c>
      <c r="AH45" s="13"/>
      <c r="AI45" s="16">
        <f>2101880.84+3050643.64</f>
        <v>5152524.4800000004</v>
      </c>
      <c r="AJ45" s="16"/>
      <c r="AK45" s="16">
        <f>2101856.09+3050642.64</f>
        <v>5152498.7300000004</v>
      </c>
      <c r="AL45" s="16"/>
      <c r="AM45" s="16">
        <f>2649756.74+2990702.42</f>
        <v>5640459.1600000001</v>
      </c>
      <c r="AN45" s="16"/>
      <c r="AO45" s="16">
        <f>2649756.74+2990702.42</f>
        <v>5640459.1600000001</v>
      </c>
      <c r="AP45" s="16"/>
      <c r="AQ45" s="24" t="s">
        <v>42</v>
      </c>
      <c r="AR45" s="24"/>
    </row>
    <row r="46" spans="1:47" ht="31.5" customHeight="1" x14ac:dyDescent="0.25">
      <c r="A46" s="109" t="s">
        <v>16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30781549.66</v>
      </c>
      <c r="Z46" s="2">
        <v>30779212.829999998</v>
      </c>
      <c r="AA46" s="16">
        <f>3305399.51+525.46</f>
        <v>3305924.9699999997</v>
      </c>
      <c r="AB46" s="16">
        <v>1468652.52</v>
      </c>
      <c r="AC46" s="16">
        <f>37418429.35+92913.85</f>
        <v>37511343.200000003</v>
      </c>
      <c r="AD46" s="16">
        <v>35708297.810000002</v>
      </c>
      <c r="AE46" s="23">
        <f>27144292.69+67092.49</f>
        <v>27211385.18</v>
      </c>
      <c r="AF46" s="13"/>
      <c r="AG46" s="23">
        <v>25563940.289999999</v>
      </c>
      <c r="AH46" s="13"/>
      <c r="AI46" s="16">
        <f>5363159.41+45867.6+4665</f>
        <v>5413692.0099999998</v>
      </c>
      <c r="AJ46" s="16">
        <f>45867.6+2181170.99</f>
        <v>2227038.5900000003</v>
      </c>
      <c r="AK46" s="16">
        <v>3181988.42</v>
      </c>
      <c r="AL46" s="16"/>
      <c r="AM46" s="16">
        <v>974026.59</v>
      </c>
      <c r="AN46" s="16">
        <v>57441.37</v>
      </c>
      <c r="AO46" s="16"/>
      <c r="AP46" s="16"/>
      <c r="AQ46" s="24"/>
      <c r="AR46" s="24"/>
    </row>
    <row r="47" spans="1:47" x14ac:dyDescent="0.25">
      <c r="A47" s="111" t="s">
        <v>3</v>
      </c>
      <c r="B47" s="112"/>
      <c r="C47" s="115">
        <v>-7680.14</v>
      </c>
      <c r="D47" s="115">
        <f>SUM(D49:D53)</f>
        <v>0</v>
      </c>
      <c r="E47" s="115">
        <f t="shared" ref="E47:AD47" si="8">SUM(E49:E53)</f>
        <v>0</v>
      </c>
      <c r="F47" s="115">
        <f t="shared" si="8"/>
        <v>0</v>
      </c>
      <c r="G47" s="115">
        <f t="shared" si="8"/>
        <v>114426.95</v>
      </c>
      <c r="H47" s="115">
        <f t="shared" si="8"/>
        <v>0</v>
      </c>
      <c r="I47" s="115">
        <f t="shared" si="8"/>
        <v>88290.77</v>
      </c>
      <c r="J47" s="115">
        <f t="shared" si="8"/>
        <v>0</v>
      </c>
      <c r="K47" s="115">
        <f t="shared" si="8"/>
        <v>51440.42</v>
      </c>
      <c r="L47" s="115">
        <f t="shared" si="8"/>
        <v>0</v>
      </c>
      <c r="M47" s="115">
        <f t="shared" si="8"/>
        <v>169857.58</v>
      </c>
      <c r="N47" s="115">
        <f t="shared" si="8"/>
        <v>0</v>
      </c>
      <c r="O47" s="115">
        <f t="shared" si="8"/>
        <v>77731.77</v>
      </c>
      <c r="P47" s="115">
        <f t="shared" si="8"/>
        <v>0</v>
      </c>
      <c r="Q47" s="115">
        <f t="shared" si="8"/>
        <v>55035.07</v>
      </c>
      <c r="R47" s="115">
        <f t="shared" si="8"/>
        <v>0</v>
      </c>
      <c r="S47" s="115">
        <f t="shared" si="8"/>
        <v>80513.679999999993</v>
      </c>
      <c r="T47" s="115">
        <f t="shared" si="8"/>
        <v>0</v>
      </c>
      <c r="U47" s="115">
        <f t="shared" si="8"/>
        <v>77945.259999999995</v>
      </c>
      <c r="V47" s="115">
        <f t="shared" si="8"/>
        <v>0</v>
      </c>
      <c r="W47" s="115">
        <f t="shared" si="8"/>
        <v>84064.9</v>
      </c>
      <c r="X47" s="115">
        <f t="shared" si="8"/>
        <v>0</v>
      </c>
      <c r="Y47" s="115">
        <f t="shared" si="8"/>
        <v>0</v>
      </c>
      <c r="Z47" s="115">
        <f t="shared" si="8"/>
        <v>0</v>
      </c>
      <c r="AA47" s="128">
        <f t="shared" si="8"/>
        <v>663721.94999999995</v>
      </c>
      <c r="AB47" s="128">
        <f t="shared" si="8"/>
        <v>0</v>
      </c>
      <c r="AC47" s="128">
        <f t="shared" si="8"/>
        <v>856387.40999999992</v>
      </c>
      <c r="AD47" s="128">
        <f t="shared" si="8"/>
        <v>0</v>
      </c>
      <c r="AE47" s="126">
        <f t="shared" ref="AE47:AL47" si="9">AE49+AE50+AE51+AE52+AE53</f>
        <v>807619</v>
      </c>
      <c r="AF47" s="126">
        <f t="shared" si="9"/>
        <v>0</v>
      </c>
      <c r="AG47" s="126">
        <f t="shared" si="9"/>
        <v>0</v>
      </c>
      <c r="AH47" s="126">
        <f t="shared" si="9"/>
        <v>0</v>
      </c>
      <c r="AI47" s="122">
        <f t="shared" si="9"/>
        <v>1745805.9500000002</v>
      </c>
      <c r="AJ47" s="122">
        <f t="shared" si="9"/>
        <v>0</v>
      </c>
      <c r="AK47" s="122">
        <v>0</v>
      </c>
      <c r="AL47" s="122">
        <f t="shared" si="9"/>
        <v>0</v>
      </c>
      <c r="AM47" s="122">
        <f>AM49+AM50+AM51+AM52+AM53</f>
        <v>1186444</v>
      </c>
      <c r="AN47" s="122">
        <f>AN49+AN50+AN51+AN52+AN53</f>
        <v>0</v>
      </c>
      <c r="AO47" s="122">
        <f>AO49+AO50+AO51+AO52+AO53</f>
        <v>0</v>
      </c>
      <c r="AP47" s="122">
        <f>AP49+AP50+AP51+AP52+AP53</f>
        <v>0</v>
      </c>
      <c r="AQ47" s="116">
        <f>AM47/AI47-1</f>
        <v>-0.32040327849724659</v>
      </c>
      <c r="AR47" s="116" t="e">
        <f>AO47/AK47-1</f>
        <v>#DIV/0!</v>
      </c>
    </row>
    <row r="48" spans="1:47" x14ac:dyDescent="0.25">
      <c r="A48" s="113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5"/>
      <c r="AB48" s="125"/>
      <c r="AC48" s="125"/>
      <c r="AD48" s="125"/>
      <c r="AE48" s="127"/>
      <c r="AF48" s="127"/>
      <c r="AG48" s="127"/>
      <c r="AH48" s="127"/>
      <c r="AI48" s="123"/>
      <c r="AJ48" s="123"/>
      <c r="AK48" s="123"/>
      <c r="AL48" s="123"/>
      <c r="AM48" s="123"/>
      <c r="AN48" s="123"/>
      <c r="AO48" s="123"/>
      <c r="AP48" s="123"/>
      <c r="AQ48" s="117"/>
      <c r="AR48" s="117"/>
    </row>
    <row r="49" spans="1:44" ht="29.25" customHeight="1" x14ac:dyDescent="0.25">
      <c r="A49" s="109" t="s">
        <v>11</v>
      </c>
      <c r="B49" s="110"/>
      <c r="C49" s="2">
        <v>0</v>
      </c>
      <c r="D49" s="2"/>
      <c r="E49" s="2">
        <v>0</v>
      </c>
      <c r="F49" s="2"/>
      <c r="G49" s="2">
        <v>114426.95</v>
      </c>
      <c r="H49" s="2"/>
      <c r="I49" s="2">
        <v>88290.77</v>
      </c>
      <c r="J49" s="2"/>
      <c r="K49" s="2">
        <v>51440.42</v>
      </c>
      <c r="L49" s="2"/>
      <c r="M49" s="2">
        <v>169857.58</v>
      </c>
      <c r="N49" s="2"/>
      <c r="O49" s="2">
        <v>77731.77</v>
      </c>
      <c r="P49" s="2"/>
      <c r="Q49" s="2">
        <v>55035.07</v>
      </c>
      <c r="R49" s="2"/>
      <c r="S49" s="2">
        <v>80513.679999999993</v>
      </c>
      <c r="T49" s="2"/>
      <c r="U49" s="2">
        <v>77945.259999999995</v>
      </c>
      <c r="V49" s="2"/>
      <c r="W49" s="2">
        <v>84064.9</v>
      </c>
      <c r="X49" s="2"/>
      <c r="Y49" s="2"/>
      <c r="Z49" s="2"/>
      <c r="AA49" s="16">
        <v>4839.6099999999997</v>
      </c>
      <c r="AB49" s="16"/>
      <c r="AC49" s="16">
        <v>85242.16</v>
      </c>
      <c r="AD49" s="13"/>
      <c r="AE49" s="23">
        <v>172973.85</v>
      </c>
      <c r="AF49" s="23"/>
      <c r="AG49" s="23"/>
      <c r="AH49" s="23"/>
      <c r="AI49" s="16">
        <f>72200.43+5275.44</f>
        <v>77475.87</v>
      </c>
      <c r="AJ49" s="16"/>
      <c r="AK49" s="16"/>
      <c r="AL49" s="16"/>
      <c r="AM49" s="16">
        <f>162696.15+40454.1</f>
        <v>203150.25</v>
      </c>
      <c r="AN49" s="16"/>
      <c r="AO49" s="16"/>
      <c r="AP49" s="16"/>
      <c r="AQ49" s="24"/>
      <c r="AR49" s="24"/>
    </row>
    <row r="50" spans="1:44" x14ac:dyDescent="0.25">
      <c r="A50" s="109" t="s">
        <v>8</v>
      </c>
      <c r="B50" s="1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6">
        <v>446550.73</v>
      </c>
      <c r="AB50" s="16"/>
      <c r="AC50" s="16">
        <v>451706.16</v>
      </c>
      <c r="AD50" s="13"/>
      <c r="AE50" s="23">
        <v>291019.77</v>
      </c>
      <c r="AF50" s="23"/>
      <c r="AG50" s="23"/>
      <c r="AH50" s="23"/>
      <c r="AI50" s="16">
        <f>696234.36+399212.22</f>
        <v>1095446.58</v>
      </c>
      <c r="AJ50" s="16"/>
      <c r="AK50" s="16"/>
      <c r="AL50" s="16"/>
      <c r="AM50" s="16">
        <f>287636.57+221381.83</f>
        <v>509018.4</v>
      </c>
      <c r="AN50" s="16"/>
      <c r="AO50" s="16"/>
      <c r="AP50" s="16"/>
      <c r="AQ50" s="24"/>
      <c r="AR50" s="24"/>
    </row>
    <row r="51" spans="1:44" ht="30" customHeight="1" x14ac:dyDescent="0.25">
      <c r="A51" s="109" t="s">
        <v>9</v>
      </c>
      <c r="B51" s="110"/>
      <c r="C51" s="2">
        <v>0</v>
      </c>
      <c r="D51" s="2"/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6"/>
      <c r="AB51" s="23"/>
      <c r="AC51" s="16"/>
      <c r="AD51" s="13"/>
      <c r="AE51" s="23"/>
      <c r="AF51" s="23"/>
      <c r="AG51" s="23"/>
      <c r="AH51" s="23"/>
      <c r="AI51" s="16"/>
      <c r="AJ51" s="16"/>
      <c r="AK51" s="16"/>
      <c r="AL51" s="16"/>
      <c r="AM51" s="16"/>
      <c r="AN51" s="16"/>
      <c r="AO51" s="16"/>
      <c r="AP51" s="16"/>
      <c r="AQ51" s="24"/>
      <c r="AR51" s="24"/>
    </row>
    <row r="52" spans="1:44" x14ac:dyDescent="0.25">
      <c r="A52" s="109" t="s">
        <v>10</v>
      </c>
      <c r="B52" s="1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6">
        <v>212331.61</v>
      </c>
      <c r="AB52" s="16"/>
      <c r="AC52" s="16">
        <v>319439.09000000003</v>
      </c>
      <c r="AD52" s="13"/>
      <c r="AE52" s="23">
        <v>343625.38</v>
      </c>
      <c r="AF52" s="23"/>
      <c r="AG52" s="23"/>
      <c r="AH52" s="23"/>
      <c r="AI52" s="16">
        <f>340695.57+232187.93</f>
        <v>572883.5</v>
      </c>
      <c r="AJ52" s="16"/>
      <c r="AK52" s="16"/>
      <c r="AL52" s="16"/>
      <c r="AM52" s="16">
        <f>212070.54+149824.81</f>
        <v>361895.35</v>
      </c>
      <c r="AN52" s="16"/>
      <c r="AO52" s="16"/>
      <c r="AP52" s="16"/>
      <c r="AQ52" s="24"/>
      <c r="AR52" s="24"/>
    </row>
    <row r="53" spans="1:44" ht="27.75" customHeight="1" x14ac:dyDescent="0.25">
      <c r="A53" s="109" t="s">
        <v>16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6"/>
      <c r="AJ53" s="16"/>
      <c r="AK53" s="16"/>
      <c r="AL53" s="16"/>
      <c r="AM53" s="16">
        <v>112380</v>
      </c>
      <c r="AN53" s="16"/>
      <c r="AO53" s="16"/>
      <c r="AP53" s="16"/>
      <c r="AQ53" s="24"/>
      <c r="AR53" s="24"/>
    </row>
    <row r="54" spans="1:44" x14ac:dyDescent="0.25">
      <c r="A54" s="111" t="s">
        <v>19</v>
      </c>
      <c r="B54" s="112"/>
      <c r="C54" s="115">
        <v>24738.76</v>
      </c>
      <c r="D54" s="115">
        <f t="shared" ref="D54:Z54" si="10">SUM(D56:D60)</f>
        <v>0</v>
      </c>
      <c r="E54" s="115">
        <f t="shared" si="10"/>
        <v>162585.41</v>
      </c>
      <c r="F54" s="115">
        <f t="shared" si="10"/>
        <v>0</v>
      </c>
      <c r="G54" s="115">
        <f t="shared" si="10"/>
        <v>2836261.8599999994</v>
      </c>
      <c r="H54" s="115">
        <f t="shared" si="10"/>
        <v>179639.45</v>
      </c>
      <c r="I54" s="115">
        <f t="shared" si="10"/>
        <v>2968161.5</v>
      </c>
      <c r="J54" s="115">
        <f t="shared" si="10"/>
        <v>179639.45</v>
      </c>
      <c r="K54" s="115">
        <f t="shared" si="10"/>
        <v>3579888.6599999997</v>
      </c>
      <c r="L54" s="115">
        <f t="shared" si="10"/>
        <v>179639.45</v>
      </c>
      <c r="M54" s="115">
        <f t="shared" si="10"/>
        <v>2288254.44</v>
      </c>
      <c r="N54" s="115">
        <f t="shared" si="10"/>
        <v>179639.45</v>
      </c>
      <c r="O54" s="115">
        <f t="shared" si="10"/>
        <v>2699902.61</v>
      </c>
      <c r="P54" s="115">
        <f t="shared" si="10"/>
        <v>179639.45</v>
      </c>
      <c r="Q54" s="115">
        <f t="shared" si="10"/>
        <v>2782603.59</v>
      </c>
      <c r="R54" s="115">
        <f t="shared" si="10"/>
        <v>179639.45</v>
      </c>
      <c r="S54" s="115">
        <f t="shared" si="10"/>
        <v>2615855.7999999998</v>
      </c>
      <c r="T54" s="115">
        <f t="shared" si="10"/>
        <v>179639.45</v>
      </c>
      <c r="U54" s="115">
        <f t="shared" si="10"/>
        <v>2483055.5499999998</v>
      </c>
      <c r="V54" s="115">
        <f t="shared" si="10"/>
        <v>142806.04</v>
      </c>
      <c r="W54" s="115">
        <f t="shared" si="10"/>
        <v>2680559.16</v>
      </c>
      <c r="X54" s="115">
        <f t="shared" si="10"/>
        <v>142806.04</v>
      </c>
      <c r="Y54" s="115">
        <f t="shared" si="10"/>
        <v>79878.12999999999</v>
      </c>
      <c r="Z54" s="115">
        <f t="shared" si="10"/>
        <v>0</v>
      </c>
      <c r="AA54" s="128">
        <f>SUM(AA56:AA60)</f>
        <v>2592606.9299999997</v>
      </c>
      <c r="AB54" s="128">
        <f>SUM(AB56:AB60)</f>
        <v>0</v>
      </c>
      <c r="AC54" s="128">
        <f>SUM(AC56:AC60)</f>
        <v>4410926.9800000004</v>
      </c>
      <c r="AD54" s="128">
        <f>SUM(AD56:AD60)</f>
        <v>1508980.59</v>
      </c>
      <c r="AE54" s="126">
        <f t="shared" ref="AE54:AJ54" si="11">AE56+AE57+AE58+AE59+AE60</f>
        <v>6043790.8399999999</v>
      </c>
      <c r="AF54" s="126">
        <f t="shared" si="11"/>
        <v>5996669.2400000002</v>
      </c>
      <c r="AG54" s="126">
        <f t="shared" si="11"/>
        <v>1880593.8800000001</v>
      </c>
      <c r="AH54" s="126">
        <f t="shared" si="11"/>
        <v>1880593.88</v>
      </c>
      <c r="AI54" s="122">
        <f t="shared" si="11"/>
        <v>4401686.4800000004</v>
      </c>
      <c r="AJ54" s="122">
        <f t="shared" si="11"/>
        <v>4300435.1999999993</v>
      </c>
      <c r="AK54" s="122">
        <v>0</v>
      </c>
      <c r="AL54" s="122">
        <v>0</v>
      </c>
      <c r="AM54" s="122">
        <f>AM56+AM57+AM58+AM59+AM60</f>
        <v>5419189.3900000006</v>
      </c>
      <c r="AN54" s="122">
        <f>AN56+AN57+AN58+AN59+AN60</f>
        <v>5254995.1500000004</v>
      </c>
      <c r="AO54" s="122">
        <f>AO56+AO57+AO58+AO59+AO60</f>
        <v>0</v>
      </c>
      <c r="AP54" s="122">
        <f>AP56+AP57+AP58+AP59+AP60</f>
        <v>0</v>
      </c>
      <c r="AQ54" s="116">
        <f>AM54/AI54-1</f>
        <v>0.23116205904787668</v>
      </c>
      <c r="AR54" s="116" t="e">
        <f>AO54/AK54-1</f>
        <v>#DIV/0!</v>
      </c>
    </row>
    <row r="55" spans="1:44" x14ac:dyDescent="0.25">
      <c r="A55" s="113"/>
      <c r="B55" s="11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5"/>
      <c r="AB55" s="125"/>
      <c r="AC55" s="125"/>
      <c r="AD55" s="125"/>
      <c r="AE55" s="127"/>
      <c r="AF55" s="127"/>
      <c r="AG55" s="127"/>
      <c r="AH55" s="127"/>
      <c r="AI55" s="123"/>
      <c r="AJ55" s="123"/>
      <c r="AK55" s="123"/>
      <c r="AL55" s="123"/>
      <c r="AM55" s="123"/>
      <c r="AN55" s="123"/>
      <c r="AO55" s="123"/>
      <c r="AP55" s="123"/>
      <c r="AQ55" s="117"/>
      <c r="AR55" s="117"/>
    </row>
    <row r="56" spans="1:44" ht="30" customHeight="1" x14ac:dyDescent="0.25">
      <c r="A56" s="109" t="s">
        <v>11</v>
      </c>
      <c r="B56" s="110"/>
      <c r="C56" s="2"/>
      <c r="D56" s="2"/>
      <c r="E56" s="2">
        <v>162585.41</v>
      </c>
      <c r="F56" s="2"/>
      <c r="G56" s="2">
        <f>410855.69+138863.03</f>
        <v>549718.72</v>
      </c>
      <c r="H56" s="2">
        <v>179639.45</v>
      </c>
      <c r="I56" s="2">
        <f>349786.74+482870.23</f>
        <v>832656.97</v>
      </c>
      <c r="J56" s="2">
        <v>179639.45</v>
      </c>
      <c r="K56" s="2">
        <f>325550.4+256894.84</f>
        <v>582445.24</v>
      </c>
      <c r="L56" s="2">
        <v>179639.45</v>
      </c>
      <c r="M56" s="2">
        <f>32098.35+367708.31</f>
        <v>399806.66</v>
      </c>
      <c r="N56" s="2">
        <v>179639.45</v>
      </c>
      <c r="O56" s="2">
        <f>19053.66+339996.73</f>
        <v>359050.38999999996</v>
      </c>
      <c r="P56" s="2">
        <v>179639.45</v>
      </c>
      <c r="Q56" s="2">
        <f>214101.64+184501.39</f>
        <v>398603.03</v>
      </c>
      <c r="R56" s="2">
        <v>179639.45</v>
      </c>
      <c r="S56" s="2">
        <f>293392.92+82646.26</f>
        <v>376039.18</v>
      </c>
      <c r="T56" s="2">
        <v>179639.45</v>
      </c>
      <c r="U56" s="2">
        <f>18347.3+293392.92</f>
        <v>311740.21999999997</v>
      </c>
      <c r="V56" s="2">
        <f>142806.04</f>
        <v>142806.04</v>
      </c>
      <c r="W56" s="2">
        <f>175124.05+248350.04</f>
        <v>423474.08999999997</v>
      </c>
      <c r="X56" s="2">
        <v>142806.04</v>
      </c>
      <c r="Y56" s="2">
        <v>99147.76</v>
      </c>
      <c r="Z56" s="2"/>
      <c r="AA56" s="16">
        <f>23731.53+27555.65</f>
        <v>51287.18</v>
      </c>
      <c r="AB56" s="16"/>
      <c r="AC56" s="16">
        <f>36698.81+43106.43</f>
        <v>79805.239999999991</v>
      </c>
      <c r="AD56" s="16"/>
      <c r="AE56" s="23">
        <f>AF56+16412.78</f>
        <v>238760.13999999998</v>
      </c>
      <c r="AF56" s="23">
        <f>104792.76+117554.6</f>
        <v>222347.36</v>
      </c>
      <c r="AG56" s="13"/>
      <c r="AH56" s="23"/>
      <c r="AI56" s="16">
        <f>54159.74+22819.27+80774.94</f>
        <v>157753.95000000001</v>
      </c>
      <c r="AJ56" s="29">
        <f>54159.74+22819.27</f>
        <v>76979.009999999995</v>
      </c>
      <c r="AK56" s="16"/>
      <c r="AL56" s="16"/>
      <c r="AM56" s="16">
        <f>94173.9+15500+149452.84+121733.73</f>
        <v>380860.47</v>
      </c>
      <c r="AN56" s="16">
        <f>94173.9+149452.84</f>
        <v>243626.74</v>
      </c>
      <c r="AO56" s="16"/>
      <c r="AP56" s="16"/>
      <c r="AQ56" s="24"/>
      <c r="AR56" s="24"/>
    </row>
    <row r="57" spans="1:44" x14ac:dyDescent="0.25">
      <c r="A57" s="109" t="s">
        <v>8</v>
      </c>
      <c r="B57" s="110"/>
      <c r="C57" s="2"/>
      <c r="D57" s="2"/>
      <c r="E57" s="2"/>
      <c r="F57" s="2"/>
      <c r="G57" s="2">
        <f>1280106.96+331142.71</f>
        <v>1611249.67</v>
      </c>
      <c r="H57" s="2"/>
      <c r="I57" s="2">
        <f>1112706.33+292125.54</f>
        <v>1404831.87</v>
      </c>
      <c r="J57" s="2"/>
      <c r="K57" s="2">
        <f>1664826.89+424726.47</f>
        <v>2089553.3599999999</v>
      </c>
      <c r="L57" s="2"/>
      <c r="M57" s="2">
        <v>1291836.76</v>
      </c>
      <c r="N57" s="2"/>
      <c r="O57" s="2">
        <f>336869.12+1006180.12</f>
        <v>1343049.24</v>
      </c>
      <c r="P57" s="2"/>
      <c r="Q57" s="2">
        <f>290310.2+1054801</f>
        <v>1345111.2</v>
      </c>
      <c r="R57" s="2"/>
      <c r="S57" s="2">
        <f>210412.6+1031728.18</f>
        <v>1242140.78</v>
      </c>
      <c r="T57" s="2"/>
      <c r="U57" s="2">
        <f>144677.62+1051908.03</f>
        <v>1196585.6499999999</v>
      </c>
      <c r="V57" s="2"/>
      <c r="W57" s="2">
        <f>257630.31+1025805.39</f>
        <v>1283435.7</v>
      </c>
      <c r="X57" s="2"/>
      <c r="Y57" s="2"/>
      <c r="Z57" s="2"/>
      <c r="AA57" s="16">
        <f>367554.1+1092399.95</f>
        <v>1459954.0499999998</v>
      </c>
      <c r="AB57" s="16"/>
      <c r="AC57" s="16">
        <f>413160.07+976030.95</f>
        <v>1389191.02</v>
      </c>
      <c r="AD57" s="16"/>
      <c r="AE57" s="23">
        <f>AF57+20410</f>
        <v>1483828.69</v>
      </c>
      <c r="AF57" s="23">
        <f>399447.7+1063970.99</f>
        <v>1463418.69</v>
      </c>
      <c r="AG57" s="13"/>
      <c r="AH57" s="23"/>
      <c r="AI57" s="16">
        <f>399497.7+11131.38+1854102.36</f>
        <v>2264731.44</v>
      </c>
      <c r="AJ57" s="16">
        <f>399497.7+1854102.36</f>
        <v>2253600.06</v>
      </c>
      <c r="AK57" s="16"/>
      <c r="AL57" s="16"/>
      <c r="AM57" s="16">
        <f>298475.03+13870.36+2642667.96</f>
        <v>2955013.35</v>
      </c>
      <c r="AN57" s="16">
        <f>298475.03+2642667.96</f>
        <v>2941142.99</v>
      </c>
      <c r="AO57" s="16"/>
      <c r="AP57" s="16"/>
      <c r="AQ57" s="24"/>
      <c r="AR57" s="24"/>
    </row>
    <row r="58" spans="1:44" ht="30" customHeight="1" x14ac:dyDescent="0.25">
      <c r="A58" s="109" t="s">
        <v>9</v>
      </c>
      <c r="B58" s="110"/>
      <c r="C58" s="2"/>
      <c r="D58" s="2"/>
      <c r="E58" s="2"/>
      <c r="F58" s="2"/>
      <c r="G58" s="2">
        <f>191330.96+483962.51</f>
        <v>675293.47</v>
      </c>
      <c r="H58" s="2"/>
      <c r="I58" s="2">
        <f>171605.74+559066.92</f>
        <v>730672.66</v>
      </c>
      <c r="J58" s="2"/>
      <c r="K58" s="2">
        <f>209944.24+697945.82</f>
        <v>907890.05999999994</v>
      </c>
      <c r="L58" s="2"/>
      <c r="M58" s="2">
        <v>596611.02</v>
      </c>
      <c r="N58" s="2"/>
      <c r="O58" s="2">
        <f>198862.88+580042.1</f>
        <v>778904.98</v>
      </c>
      <c r="P58" s="2"/>
      <c r="Q58" s="2">
        <f>612669.18+219338.18</f>
        <v>832007.3600000001</v>
      </c>
      <c r="R58" s="2"/>
      <c r="S58" s="2">
        <f>201317.46+630998.38</f>
        <v>832315.84</v>
      </c>
      <c r="T58" s="2"/>
      <c r="U58" s="2">
        <f>184341.93+601701.1</f>
        <v>786043.03</v>
      </c>
      <c r="V58" s="2"/>
      <c r="W58" s="2">
        <f>177715.19+604861.18</f>
        <v>782576.37000000011</v>
      </c>
      <c r="X58" s="2"/>
      <c r="Y58" s="2">
        <v>-9193.7999999999993</v>
      </c>
      <c r="Z58" s="2"/>
      <c r="AA58" s="16">
        <f>254861.86+627161.14</f>
        <v>882023</v>
      </c>
      <c r="AB58" s="16"/>
      <c r="AC58" s="16">
        <f>363441.69+1320113.41</f>
        <v>1683555.0999999999</v>
      </c>
      <c r="AD58" s="16">
        <f>20923.56+643955.03</f>
        <v>664878.59000000008</v>
      </c>
      <c r="AE58" s="23">
        <f>AF58+9183.82</f>
        <v>2863942.15</v>
      </c>
      <c r="AF58" s="23">
        <f>469042.19+2385716.14</f>
        <v>2854758.33</v>
      </c>
      <c r="AG58" s="23">
        <v>1220473.1200000001</v>
      </c>
      <c r="AH58" s="23">
        <f>147655.46+1072817.66</f>
        <v>1220473.1199999999</v>
      </c>
      <c r="AI58" s="16">
        <f>283794.68+8867.96+960334.11</f>
        <v>1252996.75</v>
      </c>
      <c r="AJ58" s="16">
        <f>283794.68+960334.11</f>
        <v>1244128.79</v>
      </c>
      <c r="AK58" s="16"/>
      <c r="AL58" s="16"/>
      <c r="AM58" s="16">
        <f>141611.53+13090.15+1361152.23</f>
        <v>1515853.91</v>
      </c>
      <c r="AN58" s="16">
        <f>141611.53+1361152.23</f>
        <v>1502763.76</v>
      </c>
      <c r="AO58" s="16"/>
      <c r="AP58" s="16"/>
      <c r="AQ58" s="24"/>
      <c r="AR58" s="24"/>
    </row>
    <row r="59" spans="1:44" x14ac:dyDescent="0.25">
      <c r="A59" s="109" t="s">
        <v>10</v>
      </c>
      <c r="B59" s="1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218898</f>
        <v>218898</v>
      </c>
      <c r="P59" s="2"/>
      <c r="Q59" s="2">
        <v>206882</v>
      </c>
      <c r="R59" s="2"/>
      <c r="S59" s="2">
        <v>165360</v>
      </c>
      <c r="T59" s="2"/>
      <c r="U59" s="2">
        <v>188686.65</v>
      </c>
      <c r="V59" s="2"/>
      <c r="W59" s="2">
        <f>191073</f>
        <v>191073</v>
      </c>
      <c r="X59" s="2"/>
      <c r="Y59" s="2">
        <v>-12759</v>
      </c>
      <c r="Z59" s="2"/>
      <c r="AA59" s="16"/>
      <c r="AB59" s="16"/>
      <c r="AC59" s="16"/>
      <c r="AD59" s="16"/>
      <c r="AE59" s="23">
        <f>AF59+1115</f>
        <v>94671.360000000001</v>
      </c>
      <c r="AF59" s="23">
        <v>93556.36</v>
      </c>
      <c r="AG59" s="23"/>
      <c r="AH59" s="23"/>
      <c r="AI59" s="16">
        <f>92285.57+477</f>
        <v>92762.57</v>
      </c>
      <c r="AJ59" s="16">
        <v>92285.57</v>
      </c>
      <c r="AK59" s="16"/>
      <c r="AL59" s="16"/>
      <c r="AM59" s="16">
        <v>0</v>
      </c>
      <c r="AN59" s="16">
        <v>0</v>
      </c>
      <c r="AO59" s="16"/>
      <c r="AP59" s="16"/>
      <c r="AQ59" s="24"/>
      <c r="AR59" s="24"/>
    </row>
    <row r="60" spans="1:44" ht="29.25" customHeight="1" x14ac:dyDescent="0.25">
      <c r="A60" s="109" t="s">
        <v>16</v>
      </c>
      <c r="B60" s="1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2683.17</v>
      </c>
      <c r="Z60" s="2"/>
      <c r="AA60" s="16">
        <v>199342.7</v>
      </c>
      <c r="AB60" s="16"/>
      <c r="AC60" s="16">
        <f>1258375.62</f>
        <v>1258375.6200000001</v>
      </c>
      <c r="AD60" s="16">
        <v>844102</v>
      </c>
      <c r="AE60" s="23">
        <f>AF60</f>
        <v>1362588.5</v>
      </c>
      <c r="AF60" s="23">
        <v>1362588.5</v>
      </c>
      <c r="AG60" s="23">
        <v>660120.76</v>
      </c>
      <c r="AH60" s="23">
        <v>660120.76</v>
      </c>
      <c r="AI60" s="16">
        <f>633441.77</f>
        <v>633441.77</v>
      </c>
      <c r="AJ60" s="16">
        <v>633441.77</v>
      </c>
      <c r="AK60" s="16"/>
      <c r="AL60" s="16"/>
      <c r="AM60" s="16">
        <v>567461.66</v>
      </c>
      <c r="AN60" s="16">
        <v>567461.66</v>
      </c>
      <c r="AO60" s="16"/>
      <c r="AP60" s="16"/>
      <c r="AQ60" s="24"/>
      <c r="AR60" s="24"/>
    </row>
    <row r="61" spans="1:44" x14ac:dyDescent="0.25">
      <c r="A61" s="111" t="s">
        <v>17</v>
      </c>
      <c r="B61" s="112"/>
      <c r="C61" s="115">
        <v>10765845.27</v>
      </c>
      <c r="D61" s="115">
        <v>7171240.7400000002</v>
      </c>
      <c r="E61" s="115">
        <f>SUM(E63:E67)</f>
        <v>13066265.32</v>
      </c>
      <c r="F61" s="115">
        <f>SUM(F63:F67)</f>
        <v>9363054.25</v>
      </c>
      <c r="G61" s="115">
        <f t="shared" ref="G61:AC61" si="12">SUM(G63:G67)</f>
        <v>12452961.670000002</v>
      </c>
      <c r="H61" s="115">
        <f t="shared" si="12"/>
        <v>10697359.270000001</v>
      </c>
      <c r="I61" s="115">
        <f t="shared" si="12"/>
        <v>10509503.82</v>
      </c>
      <c r="J61" s="115">
        <f t="shared" si="12"/>
        <v>9311032.910000002</v>
      </c>
      <c r="K61" s="115">
        <f t="shared" si="12"/>
        <v>9816963.7700000014</v>
      </c>
      <c r="L61" s="115">
        <f t="shared" si="12"/>
        <v>9514146.0000000019</v>
      </c>
      <c r="M61" s="115">
        <f t="shared" si="12"/>
        <v>10491903.119999999</v>
      </c>
      <c r="N61" s="115">
        <f t="shared" si="12"/>
        <v>10223094.629999999</v>
      </c>
      <c r="O61" s="115">
        <f t="shared" si="12"/>
        <v>11041075.82</v>
      </c>
      <c r="P61" s="115">
        <f t="shared" si="12"/>
        <v>9852688.540000001</v>
      </c>
      <c r="Q61" s="115">
        <f t="shared" si="12"/>
        <v>11491967.560000001</v>
      </c>
      <c r="R61" s="115">
        <f t="shared" si="12"/>
        <v>9865070.0600000005</v>
      </c>
      <c r="S61" s="115">
        <f t="shared" si="12"/>
        <v>12060303.5</v>
      </c>
      <c r="T61" s="115">
        <f t="shared" si="12"/>
        <v>10862190.040000001</v>
      </c>
      <c r="U61" s="115">
        <f t="shared" si="12"/>
        <v>11619250.300000001</v>
      </c>
      <c r="V61" s="115">
        <f t="shared" si="12"/>
        <v>9816511.040000001</v>
      </c>
      <c r="W61" s="115">
        <f t="shared" si="12"/>
        <v>11514591.1</v>
      </c>
      <c r="X61" s="115">
        <f t="shared" si="12"/>
        <v>10293165.02</v>
      </c>
      <c r="Y61" s="115">
        <f t="shared" si="12"/>
        <v>14972637.870000001</v>
      </c>
      <c r="Z61" s="115">
        <f t="shared" si="12"/>
        <v>11006589.689999999</v>
      </c>
      <c r="AA61" s="128">
        <f t="shared" si="12"/>
        <v>11434380.700000001</v>
      </c>
      <c r="AB61" s="128">
        <f t="shared" si="12"/>
        <v>1118646.56</v>
      </c>
      <c r="AC61" s="128">
        <f t="shared" si="12"/>
        <v>20378851.969999999</v>
      </c>
      <c r="AD61" s="128">
        <f t="shared" ref="AD61:AK61" si="13">AD63+AD64+AD65+AD66+AD67</f>
        <v>6845671.4899999993</v>
      </c>
      <c r="AE61" s="126">
        <f t="shared" si="13"/>
        <v>21821924</v>
      </c>
      <c r="AF61" s="126">
        <f t="shared" si="13"/>
        <v>1624721</v>
      </c>
      <c r="AG61" s="126">
        <f t="shared" si="13"/>
        <v>8640587.1999999993</v>
      </c>
      <c r="AH61" s="126">
        <f t="shared" si="13"/>
        <v>0</v>
      </c>
      <c r="AI61" s="122">
        <f t="shared" si="13"/>
        <v>16329235.25</v>
      </c>
      <c r="AJ61" s="122">
        <v>0</v>
      </c>
      <c r="AK61" s="122">
        <f t="shared" si="13"/>
        <v>5018242.82</v>
      </c>
      <c r="AL61" s="122">
        <v>0</v>
      </c>
      <c r="AM61" s="122">
        <f>AM63+AM64+AM65+AM66+AM67</f>
        <v>12618093.770000001</v>
      </c>
      <c r="AN61" s="122">
        <f>AN63+AN64+AN65+AN66+AN67</f>
        <v>0</v>
      </c>
      <c r="AO61" s="122">
        <f>AO63+AO64+AO65+AO66+AO67</f>
        <v>3055764</v>
      </c>
      <c r="AP61" s="122">
        <f>AP63+AP64+AP65+AP66+AP67</f>
        <v>0</v>
      </c>
      <c r="AQ61" s="116">
        <f>AM61/AI61-1</f>
        <v>-0.22726976635357121</v>
      </c>
      <c r="AR61" s="116">
        <f>AO61/AK61-1</f>
        <v>-0.39106892400236626</v>
      </c>
    </row>
    <row r="62" spans="1:44" x14ac:dyDescent="0.25">
      <c r="A62" s="113"/>
      <c r="B62" s="11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25"/>
      <c r="AB62" s="125"/>
      <c r="AC62" s="125"/>
      <c r="AD62" s="125"/>
      <c r="AE62" s="127"/>
      <c r="AF62" s="127"/>
      <c r="AG62" s="127"/>
      <c r="AH62" s="127"/>
      <c r="AI62" s="123"/>
      <c r="AJ62" s="123"/>
      <c r="AK62" s="123"/>
      <c r="AL62" s="123"/>
      <c r="AM62" s="123"/>
      <c r="AN62" s="123"/>
      <c r="AO62" s="123"/>
      <c r="AP62" s="123"/>
      <c r="AQ62" s="117"/>
      <c r="AR62" s="117"/>
    </row>
    <row r="63" spans="1:44" ht="28.5" customHeight="1" x14ac:dyDescent="0.25">
      <c r="A63" s="109" t="s">
        <v>11</v>
      </c>
      <c r="B63" s="110"/>
      <c r="C63" s="2"/>
      <c r="D63" s="2"/>
      <c r="E63" s="2">
        <v>1445875.56</v>
      </c>
      <c r="F63" s="2">
        <v>504057.32</v>
      </c>
      <c r="G63" s="2">
        <f>15780.83+1401592.32</f>
        <v>1417373.1500000001</v>
      </c>
      <c r="H63" s="2">
        <f>497307.75</f>
        <v>497307.75</v>
      </c>
      <c r="I63" s="2">
        <f>14359.15+1094634.15</f>
        <v>1108993.2999999998</v>
      </c>
      <c r="J63" s="2">
        <v>581610.39</v>
      </c>
      <c r="K63" s="2">
        <f>45290.3+812014.95</f>
        <v>857305.25</v>
      </c>
      <c r="L63" s="2">
        <v>554487.48</v>
      </c>
      <c r="M63" s="2">
        <f>22392+828113.09</f>
        <v>850505.09</v>
      </c>
      <c r="N63" s="2">
        <f>581696.6</f>
        <v>581696.6</v>
      </c>
      <c r="O63" s="2">
        <f>24207.15+1590490.12</f>
        <v>1614697.27</v>
      </c>
      <c r="P63" s="2">
        <f>484794.48</f>
        <v>484794.48</v>
      </c>
      <c r="Q63" s="2">
        <v>1906086.62</v>
      </c>
      <c r="R63" s="2"/>
      <c r="S63" s="2">
        <f>23600.15+1705289.54</f>
        <v>1728889.69</v>
      </c>
      <c r="T63" s="2">
        <v>530776.23</v>
      </c>
      <c r="U63" s="2">
        <f>2268996.34+30919.15</f>
        <v>2299915.4899999998</v>
      </c>
      <c r="V63" s="2">
        <v>497176.23</v>
      </c>
      <c r="W63" s="2">
        <f>2127960.81+48959.2</f>
        <v>2176920.0100000002</v>
      </c>
      <c r="X63" s="2">
        <v>955493.93</v>
      </c>
      <c r="Y63" s="2">
        <v>2219644.2799999998</v>
      </c>
      <c r="Z63" s="2">
        <f>782752.86</f>
        <v>782752.86</v>
      </c>
      <c r="AA63" s="16">
        <f>25455.33+3676740.99</f>
        <v>3702196.3200000003</v>
      </c>
      <c r="AB63" s="16">
        <v>370926</v>
      </c>
      <c r="AC63" s="16">
        <f>25119.87+10218497.79</f>
        <v>10243617.659999998</v>
      </c>
      <c r="AD63" s="16">
        <v>3812324.48</v>
      </c>
      <c r="AE63" s="23">
        <f>92866+7505896.09</f>
        <v>7598762.0899999999</v>
      </c>
      <c r="AF63" s="23">
        <v>1624721</v>
      </c>
      <c r="AG63" s="23">
        <v>1546341.78</v>
      </c>
      <c r="AH63" s="13"/>
      <c r="AI63" s="16">
        <f>36469.87+5446750.25</f>
        <v>5483220.1200000001</v>
      </c>
      <c r="AJ63" s="33">
        <v>0</v>
      </c>
      <c r="AK63" s="16">
        <v>2700000</v>
      </c>
      <c r="AL63" s="16">
        <v>0</v>
      </c>
      <c r="AM63" s="16">
        <f>6437.49+5078114.38</f>
        <v>5084551.87</v>
      </c>
      <c r="AN63" s="16"/>
      <c r="AO63" s="16">
        <v>2700000</v>
      </c>
      <c r="AP63" s="16"/>
      <c r="AQ63" s="24"/>
      <c r="AR63" s="24"/>
    </row>
    <row r="64" spans="1:44" x14ac:dyDescent="0.25">
      <c r="A64" s="109" t="s">
        <v>8</v>
      </c>
      <c r="B64" s="1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107414.79</v>
      </c>
      <c r="R64" s="2"/>
      <c r="S64" s="2"/>
      <c r="T64" s="2"/>
      <c r="U64" s="2"/>
      <c r="V64" s="2"/>
      <c r="W64" s="2"/>
      <c r="X64" s="2"/>
      <c r="Y64" s="2"/>
      <c r="Z64" s="2"/>
      <c r="AA64" s="16">
        <f>240366.78+3338386.23</f>
        <v>3578753.01</v>
      </c>
      <c r="AB64" s="16"/>
      <c r="AC64" s="16">
        <f>213303.85+3570475.36</f>
        <v>3783779.21</v>
      </c>
      <c r="AD64" s="16"/>
      <c r="AE64" s="23">
        <f>1048316.56+3892857.12</f>
        <v>4941173.68</v>
      </c>
      <c r="AF64" s="13"/>
      <c r="AG64" s="23"/>
      <c r="AH64" s="13"/>
      <c r="AI64" s="16">
        <f>1013379.37+4504888.09</f>
        <v>5518267.46</v>
      </c>
      <c r="AJ64" s="16"/>
      <c r="AK64" s="16"/>
      <c r="AL64" s="16"/>
      <c r="AM64" s="16">
        <f>1242871.46+3613679.45</f>
        <v>4856550.91</v>
      </c>
      <c r="AN64" s="16"/>
      <c r="AO64" s="16"/>
      <c r="AP64" s="16"/>
      <c r="AQ64" s="24"/>
      <c r="AR64" s="24"/>
    </row>
    <row r="65" spans="1:44" ht="30" customHeight="1" x14ac:dyDescent="0.25">
      <c r="A65" s="109" t="s">
        <v>9</v>
      </c>
      <c r="B65" s="110"/>
      <c r="C65" s="2"/>
      <c r="D65" s="2"/>
      <c r="E65" s="2">
        <v>1463841.51</v>
      </c>
      <c r="F65" s="2"/>
      <c r="G65" s="2">
        <v>166700</v>
      </c>
      <c r="H65" s="2"/>
      <c r="I65" s="2"/>
      <c r="J65" s="2"/>
      <c r="K65" s="2"/>
      <c r="L65" s="2"/>
      <c r="M65" s="2"/>
      <c r="N65" s="2"/>
      <c r="O65" s="2">
        <v>27151.16</v>
      </c>
      <c r="P65" s="2"/>
      <c r="Q65" s="2">
        <v>78572.100000000006</v>
      </c>
      <c r="R65" s="2"/>
      <c r="S65" s="2"/>
      <c r="T65" s="2"/>
      <c r="U65" s="2"/>
      <c r="V65" s="2"/>
      <c r="W65" s="2"/>
      <c r="X65" s="2"/>
      <c r="Y65" s="2">
        <v>1439851.12</v>
      </c>
      <c r="Z65" s="2"/>
      <c r="AA65" s="16">
        <f>182858.49+1828141.64</f>
        <v>2011000.13</v>
      </c>
      <c r="AB65" s="16"/>
      <c r="AC65" s="16">
        <f>194574.38+2050743.86</f>
        <v>2245318.2400000002</v>
      </c>
      <c r="AD65" s="16"/>
      <c r="AE65" s="23">
        <f>763510.32+2959710.97+0.85</f>
        <v>3723222.14</v>
      </c>
      <c r="AF65" s="13"/>
      <c r="AG65" s="23">
        <f>317932.16+1222488.09</f>
        <v>1540420.25</v>
      </c>
      <c r="AH65" s="13"/>
      <c r="AI65" s="16">
        <f>840855.82+2166721.03</f>
        <v>3007576.8499999996</v>
      </c>
      <c r="AJ65" s="16"/>
      <c r="AK65" s="16"/>
      <c r="AL65" s="16"/>
      <c r="AM65" s="16">
        <f>505524.41+1810401.58</f>
        <v>2315925.9900000002</v>
      </c>
      <c r="AN65" s="16"/>
      <c r="AO65" s="16"/>
      <c r="AP65" s="16"/>
      <c r="AQ65" s="24"/>
      <c r="AR65" s="24"/>
    </row>
    <row r="66" spans="1:44" x14ac:dyDescent="0.25">
      <c r="A66" s="109" t="s">
        <v>10</v>
      </c>
      <c r="B66" s="110"/>
      <c r="C66" s="2"/>
      <c r="D66" s="2"/>
      <c r="E66" s="2">
        <v>10156548.25</v>
      </c>
      <c r="F66" s="2">
        <v>8858996.9299999997</v>
      </c>
      <c r="G66" s="2">
        <f>317.3+10868571.22</f>
        <v>10868888.520000001</v>
      </c>
      <c r="H66" s="2">
        <f>10199734.22+317.3</f>
        <v>10200051.520000001</v>
      </c>
      <c r="I66" s="2">
        <f>317.3+9400193.22</f>
        <v>9400510.5200000014</v>
      </c>
      <c r="J66" s="2">
        <f>317.3+8729105.22</f>
        <v>8729422.5200000014</v>
      </c>
      <c r="K66" s="2">
        <f>317.3+8959341.22</f>
        <v>8959658.5200000014</v>
      </c>
      <c r="L66" s="2">
        <f>317.3+8959341.22</f>
        <v>8959658.5200000014</v>
      </c>
      <c r="M66" s="2">
        <v>9641398.0299999993</v>
      </c>
      <c r="N66" s="2">
        <v>9641398.0299999993</v>
      </c>
      <c r="O66" s="2">
        <f>9367894.06</f>
        <v>9367894.0600000005</v>
      </c>
      <c r="P66" s="2">
        <f>9367894.06</f>
        <v>9367894.0600000005</v>
      </c>
      <c r="Q66" s="2">
        <f>9367894.06</f>
        <v>9367894.0600000005</v>
      </c>
      <c r="R66" s="2">
        <v>9865070.0600000005</v>
      </c>
      <c r="S66" s="2">
        <v>10331413.810000001</v>
      </c>
      <c r="T66" s="2">
        <v>10331413.810000001</v>
      </c>
      <c r="U66" s="2">
        <v>9319334.8100000005</v>
      </c>
      <c r="V66" s="2">
        <v>9319334.8100000005</v>
      </c>
      <c r="W66" s="2">
        <f>9337671.09</f>
        <v>9337671.0899999999</v>
      </c>
      <c r="X66" s="2">
        <v>9337671.0899999999</v>
      </c>
      <c r="Y66" s="2">
        <v>11178667.26</v>
      </c>
      <c r="Z66" s="2">
        <v>10089361.619999999</v>
      </c>
      <c r="AA66" s="16">
        <f>41557.97+1353152.71</f>
        <v>1394710.68</v>
      </c>
      <c r="AB66" s="16"/>
      <c r="AC66" s="16">
        <f>79834.83+2444326.98</f>
        <v>2524161.81</v>
      </c>
      <c r="AD66" s="16">
        <v>1451371.96</v>
      </c>
      <c r="AE66" s="23">
        <f>15039+567180.92</f>
        <v>582219.92000000004</v>
      </c>
      <c r="AF66" s="13"/>
      <c r="AG66" s="23">
        <f>15039+562240</f>
        <v>577279</v>
      </c>
      <c r="AH66" s="13"/>
      <c r="AI66" s="16">
        <v>497002</v>
      </c>
      <c r="AJ66" s="16"/>
      <c r="AK66" s="16">
        <v>495074</v>
      </c>
      <c r="AL66" s="16"/>
      <c r="AM66" s="16">
        <v>361065</v>
      </c>
      <c r="AN66" s="16"/>
      <c r="AO66" s="16">
        <v>355764</v>
      </c>
      <c r="AP66" s="16"/>
      <c r="AQ66" s="24"/>
      <c r="AR66" s="24"/>
    </row>
    <row r="67" spans="1:44" ht="27" customHeight="1" x14ac:dyDescent="0.25">
      <c r="A67" s="109" t="s">
        <v>16</v>
      </c>
      <c r="B67" s="1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31333.33</v>
      </c>
      <c r="P67" s="2"/>
      <c r="Q67" s="2">
        <v>31999.99</v>
      </c>
      <c r="R67" s="2"/>
      <c r="S67" s="2"/>
      <c r="T67" s="2"/>
      <c r="U67" s="2"/>
      <c r="V67" s="2"/>
      <c r="W67" s="2"/>
      <c r="X67" s="2"/>
      <c r="Y67" s="2">
        <v>134475.21</v>
      </c>
      <c r="Z67" s="2">
        <v>134475.21</v>
      </c>
      <c r="AA67" s="16">
        <v>747720.56</v>
      </c>
      <c r="AB67" s="16">
        <v>747720.56</v>
      </c>
      <c r="AC67" s="16">
        <v>1581975.05</v>
      </c>
      <c r="AD67" s="16">
        <v>1581975.05</v>
      </c>
      <c r="AE67" s="23">
        <v>4976546.17</v>
      </c>
      <c r="AF67" s="13"/>
      <c r="AG67" s="23">
        <v>4976546.17</v>
      </c>
      <c r="AH67" s="13"/>
      <c r="AI67" s="16">
        <v>1823168.82</v>
      </c>
      <c r="AJ67" s="16"/>
      <c r="AK67" s="16">
        <v>1823168.82</v>
      </c>
      <c r="AL67" s="16"/>
      <c r="AM67" s="13"/>
      <c r="AN67" s="13"/>
      <c r="AO67" s="13"/>
      <c r="AP67" s="13"/>
      <c r="AQ67" s="31"/>
      <c r="AR67" s="31"/>
    </row>
    <row r="68" spans="1:44" hidden="1" x14ac:dyDescent="0.25">
      <c r="A68" s="111" t="s">
        <v>4</v>
      </c>
      <c r="B68" s="112"/>
      <c r="C68" s="115">
        <v>654159.29</v>
      </c>
      <c r="D68" s="115">
        <f>SUM(D70:D74)</f>
        <v>0</v>
      </c>
      <c r="E68" s="115">
        <f t="shared" ref="E68:Z68" si="14">SUM(E70:E74)</f>
        <v>159427.71</v>
      </c>
      <c r="F68" s="115">
        <f t="shared" si="14"/>
        <v>156150</v>
      </c>
      <c r="G68" s="115">
        <f t="shared" si="14"/>
        <v>166323.26</v>
      </c>
      <c r="H68" s="115">
        <f t="shared" si="14"/>
        <v>156150</v>
      </c>
      <c r="I68" s="115">
        <f t="shared" si="14"/>
        <v>158187.54</v>
      </c>
      <c r="J68" s="115">
        <f t="shared" si="14"/>
        <v>156150</v>
      </c>
      <c r="K68" s="115">
        <f t="shared" si="14"/>
        <v>157389.10999999999</v>
      </c>
      <c r="L68" s="115">
        <f t="shared" si="14"/>
        <v>156150</v>
      </c>
      <c r="M68" s="115">
        <f t="shared" si="14"/>
        <v>162310.56</v>
      </c>
      <c r="N68" s="115">
        <f t="shared" si="14"/>
        <v>156150</v>
      </c>
      <c r="O68" s="115">
        <f t="shared" si="14"/>
        <v>158206.72</v>
      </c>
      <c r="P68" s="115">
        <f t="shared" si="14"/>
        <v>156150</v>
      </c>
      <c r="Q68" s="115">
        <f t="shared" si="14"/>
        <v>162910.32999999999</v>
      </c>
      <c r="R68" s="115">
        <f t="shared" si="14"/>
        <v>156150</v>
      </c>
      <c r="S68" s="115">
        <f t="shared" si="14"/>
        <v>159608.60999999999</v>
      </c>
      <c r="T68" s="115">
        <f t="shared" si="14"/>
        <v>156150</v>
      </c>
      <c r="U68" s="115">
        <f t="shared" si="14"/>
        <v>157986.35</v>
      </c>
      <c r="V68" s="115">
        <f t="shared" si="14"/>
        <v>156150</v>
      </c>
      <c r="W68" s="115">
        <f t="shared" si="14"/>
        <v>159926.9</v>
      </c>
      <c r="X68" s="115">
        <f t="shared" si="14"/>
        <v>156150</v>
      </c>
      <c r="Y68" s="115">
        <f t="shared" si="14"/>
        <v>0</v>
      </c>
      <c r="Z68" s="115">
        <f t="shared" si="14"/>
        <v>0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129">
        <f>Y68/E68-1</f>
        <v>-1</v>
      </c>
      <c r="AR68" s="129">
        <f>Z68/F68-1</f>
        <v>-1</v>
      </c>
    </row>
    <row r="69" spans="1:44" hidden="1" x14ac:dyDescent="0.25">
      <c r="A69" s="113"/>
      <c r="B69" s="11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130"/>
      <c r="AR69" s="130"/>
    </row>
    <row r="70" spans="1:44" hidden="1" x14ac:dyDescent="0.25">
      <c r="A70" s="109" t="s">
        <v>11</v>
      </c>
      <c r="B70" s="110"/>
      <c r="C70" s="2"/>
      <c r="D70" s="2"/>
      <c r="E70" s="2">
        <v>2936.71</v>
      </c>
      <c r="F70" s="2"/>
      <c r="G70" s="2">
        <v>10173.26</v>
      </c>
      <c r="H70" s="2"/>
      <c r="I70" s="2">
        <v>2037.54</v>
      </c>
      <c r="J70" s="2"/>
      <c r="K70" s="2">
        <v>1239.1099999999999</v>
      </c>
      <c r="L70" s="2"/>
      <c r="M70" s="2">
        <v>6160.56</v>
      </c>
      <c r="N70" s="2"/>
      <c r="O70" s="2">
        <v>2056.7199999999998</v>
      </c>
      <c r="P70" s="2"/>
      <c r="Q70" s="2">
        <v>4968.33</v>
      </c>
      <c r="R70" s="2"/>
      <c r="S70" s="2">
        <v>3458.61</v>
      </c>
      <c r="T70" s="2"/>
      <c r="U70" s="2">
        <v>1836.35</v>
      </c>
      <c r="V70" s="2"/>
      <c r="W70" s="2">
        <v>3776.9</v>
      </c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idden="1" x14ac:dyDescent="0.25">
      <c r="A71" s="109" t="s">
        <v>8</v>
      </c>
      <c r="B71" s="1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1"/>
      <c r="AR71" s="31"/>
    </row>
    <row r="72" spans="1:44" hidden="1" x14ac:dyDescent="0.25">
      <c r="A72" s="109" t="s">
        <v>9</v>
      </c>
      <c r="B72" s="110"/>
      <c r="C72" s="2"/>
      <c r="D72" s="2"/>
      <c r="E72" s="2">
        <v>-10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1"/>
      <c r="AR72" s="31"/>
    </row>
    <row r="73" spans="1:44" hidden="1" x14ac:dyDescent="0.25">
      <c r="A73" s="109" t="s">
        <v>10</v>
      </c>
      <c r="B73" s="110"/>
      <c r="C73" s="2"/>
      <c r="D73" s="2"/>
      <c r="E73" s="2">
        <v>351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1792</v>
      </c>
      <c r="R73" s="2"/>
      <c r="S73" s="2"/>
      <c r="T73" s="2"/>
      <c r="U73" s="2"/>
      <c r="V73" s="2"/>
      <c r="W73" s="2"/>
      <c r="X73" s="2"/>
      <c r="Y73" s="2"/>
      <c r="Z73" s="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1"/>
      <c r="AR73" s="31"/>
    </row>
    <row r="74" spans="1:44" hidden="1" x14ac:dyDescent="0.25">
      <c r="A74" s="109" t="s">
        <v>16</v>
      </c>
      <c r="B74" s="110"/>
      <c r="C74" s="2"/>
      <c r="D74" s="2"/>
      <c r="E74" s="2">
        <v>156150</v>
      </c>
      <c r="F74" s="2">
        <v>156150</v>
      </c>
      <c r="G74" s="2">
        <v>156150</v>
      </c>
      <c r="H74" s="2">
        <v>156150</v>
      </c>
      <c r="I74" s="2">
        <v>156150</v>
      </c>
      <c r="J74" s="2">
        <v>156150</v>
      </c>
      <c r="K74" s="2">
        <v>156150</v>
      </c>
      <c r="L74" s="2">
        <v>156150</v>
      </c>
      <c r="M74" s="2">
        <v>156150</v>
      </c>
      <c r="N74" s="2">
        <v>156150</v>
      </c>
      <c r="O74" s="2">
        <v>156150</v>
      </c>
      <c r="P74" s="2">
        <v>156150</v>
      </c>
      <c r="Q74" s="2">
        <v>156150</v>
      </c>
      <c r="R74" s="2">
        <v>156150</v>
      </c>
      <c r="S74" s="2">
        <v>156150</v>
      </c>
      <c r="T74" s="2">
        <v>156150</v>
      </c>
      <c r="U74" s="2">
        <v>156150</v>
      </c>
      <c r="V74" s="2">
        <v>156150</v>
      </c>
      <c r="W74" s="2">
        <v>156150</v>
      </c>
      <c r="X74" s="2">
        <v>156150</v>
      </c>
      <c r="Y74" s="2">
        <v>0</v>
      </c>
      <c r="Z74" s="2">
        <v>0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11" t="s">
        <v>18</v>
      </c>
      <c r="B75" s="112"/>
      <c r="C75" s="107">
        <v>10829169.880000001</v>
      </c>
      <c r="D75" s="107">
        <f>1640975.89+2975186.97+988391.8</f>
        <v>5604554.6600000001</v>
      </c>
      <c r="E75" s="107">
        <f>SUM(E77:E81)</f>
        <v>6197764.7700000005</v>
      </c>
      <c r="F75" s="107">
        <f>SUM(F77:F81)</f>
        <v>3749667.49</v>
      </c>
      <c r="G75" s="107">
        <f t="shared" ref="G75:AD75" si="15">SUM(G77:G81)</f>
        <v>6852948.2799999993</v>
      </c>
      <c r="H75" s="107">
        <f t="shared" si="15"/>
        <v>3749667.49</v>
      </c>
      <c r="I75" s="107">
        <f t="shared" si="15"/>
        <v>5929212.6499999994</v>
      </c>
      <c r="J75" s="107">
        <f t="shared" si="15"/>
        <v>2974471.0500000003</v>
      </c>
      <c r="K75" s="107">
        <f t="shared" si="15"/>
        <v>7559967.5599999996</v>
      </c>
      <c r="L75" s="107">
        <f t="shared" si="15"/>
        <v>2974471.0500000003</v>
      </c>
      <c r="M75" s="107">
        <f t="shared" si="15"/>
        <v>6930316.6799999997</v>
      </c>
      <c r="N75" s="107">
        <f t="shared" si="15"/>
        <v>4894294.6399999997</v>
      </c>
      <c r="O75" s="107">
        <f t="shared" si="15"/>
        <v>7219255.4799999995</v>
      </c>
      <c r="P75" s="107">
        <f t="shared" si="15"/>
        <v>4894294.6399999997</v>
      </c>
      <c r="Q75" s="107">
        <f t="shared" si="15"/>
        <v>9600917.8499999996</v>
      </c>
      <c r="R75" s="107">
        <f t="shared" si="15"/>
        <v>4651292.82</v>
      </c>
      <c r="S75" s="107">
        <f t="shared" si="15"/>
        <v>8525632.5199999996</v>
      </c>
      <c r="T75" s="107">
        <f t="shared" si="15"/>
        <v>4005766.16</v>
      </c>
      <c r="U75" s="107">
        <f t="shared" si="15"/>
        <v>10599393.380000001</v>
      </c>
      <c r="V75" s="107">
        <f t="shared" si="15"/>
        <v>1496363.55</v>
      </c>
      <c r="W75" s="107">
        <f t="shared" si="15"/>
        <v>20377243.73</v>
      </c>
      <c r="X75" s="107">
        <f t="shared" si="15"/>
        <v>1496363.55</v>
      </c>
      <c r="Y75" s="107">
        <f t="shared" si="15"/>
        <v>20412653.610000003</v>
      </c>
      <c r="Z75" s="107">
        <f t="shared" si="15"/>
        <v>13308419.82</v>
      </c>
      <c r="AA75" s="124">
        <f t="shared" si="15"/>
        <v>54055934.440000005</v>
      </c>
      <c r="AB75" s="124">
        <f t="shared" si="15"/>
        <v>17697811.539999999</v>
      </c>
      <c r="AC75" s="124">
        <f t="shared" si="15"/>
        <v>61418098.109999999</v>
      </c>
      <c r="AD75" s="124">
        <f t="shared" si="15"/>
        <v>39172056.890000001</v>
      </c>
      <c r="AE75" s="118">
        <f>AE77+AE78+AE79+AE80+AE81</f>
        <v>12238071.009999998</v>
      </c>
      <c r="AF75" s="118">
        <f>AF77+AF78+AF79+AF80+AF81</f>
        <v>4454905.63</v>
      </c>
      <c r="AG75" s="118">
        <f>AG77+AG78+AG79+AG80+AG81</f>
        <v>401041.57</v>
      </c>
      <c r="AH75" s="118">
        <f>AH77+AH78+AH79+AH80+AH81</f>
        <v>0</v>
      </c>
      <c r="AI75" s="120">
        <f>AI77+AI78+AI79+AI80+AI81</f>
        <v>75253.62</v>
      </c>
      <c r="AJ75" s="120">
        <v>0</v>
      </c>
      <c r="AK75" s="120">
        <v>0</v>
      </c>
      <c r="AL75" s="120">
        <v>0</v>
      </c>
      <c r="AM75" s="120">
        <f>AM77+AM78+AM79+AM80+AM81</f>
        <v>0</v>
      </c>
      <c r="AN75" s="120">
        <f>AN77+AN78+AN79+AN80+AN81</f>
        <v>0</v>
      </c>
      <c r="AO75" s="120">
        <f>AO77+AO78+AO79+AO80+AO81</f>
        <v>0</v>
      </c>
      <c r="AP75" s="120">
        <f>AP77+AP78+AP79+AP80+AP81</f>
        <v>0</v>
      </c>
      <c r="AQ75" s="116">
        <f>AM75/AI75-1</f>
        <v>-1</v>
      </c>
      <c r="AR75" s="116" t="e">
        <f>AO75/AK75-1</f>
        <v>#DIV/0!</v>
      </c>
    </row>
    <row r="76" spans="1:44" x14ac:dyDescent="0.25">
      <c r="A76" s="113"/>
      <c r="B76" s="11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25"/>
      <c r="AB76" s="125"/>
      <c r="AC76" s="125"/>
      <c r="AD76" s="125"/>
      <c r="AE76" s="119"/>
      <c r="AF76" s="119"/>
      <c r="AG76" s="119"/>
      <c r="AH76" s="119"/>
      <c r="AI76" s="121"/>
      <c r="AJ76" s="121"/>
      <c r="AK76" s="121"/>
      <c r="AL76" s="121"/>
      <c r="AM76" s="121"/>
      <c r="AN76" s="121"/>
      <c r="AO76" s="121"/>
      <c r="AP76" s="121"/>
      <c r="AQ76" s="117"/>
      <c r="AR76" s="117"/>
    </row>
    <row r="77" spans="1:44" ht="30" customHeight="1" x14ac:dyDescent="0.25">
      <c r="A77" s="109" t="s">
        <v>11</v>
      </c>
      <c r="B77" s="110"/>
      <c r="C77" s="1"/>
      <c r="D77" s="1"/>
      <c r="E77" s="1">
        <v>6195284.0800000001</v>
      </c>
      <c r="F77" s="1">
        <f>3363056.56+386610.93</f>
        <v>3749667.49</v>
      </c>
      <c r="G77" s="1">
        <f>2263909.36+4559378.25</f>
        <v>6823287.6099999994</v>
      </c>
      <c r="H77" s="1">
        <f>386610.93+3363056.56</f>
        <v>3749667.49</v>
      </c>
      <c r="I77" s="1">
        <f>1799893.76+4099496.79</f>
        <v>5899390.5499999998</v>
      </c>
      <c r="J77" s="1">
        <f>386610.93+2587860.12</f>
        <v>2974471.0500000003</v>
      </c>
      <c r="K77" s="1">
        <f>5416106.16+2141154.26+1386.18+1320.96</f>
        <v>7559967.5599999996</v>
      </c>
      <c r="L77" s="1">
        <f>2587860.12+386610.93</f>
        <v>2974471.0500000003</v>
      </c>
      <c r="M77" s="1">
        <v>6930316.6799999997</v>
      </c>
      <c r="N77" s="1">
        <v>4894294.6399999997</v>
      </c>
      <c r="O77" s="1">
        <f>1865798.47+5348998.75</f>
        <v>7214797.2199999997</v>
      </c>
      <c r="P77" s="1">
        <f>386610.93+4507683.71</f>
        <v>4894294.6399999997</v>
      </c>
      <c r="Q77" s="1">
        <v>9600917.8499999996</v>
      </c>
      <c r="R77" s="1">
        <v>4651292.82</v>
      </c>
      <c r="S77" s="1">
        <f>2951333.92+5555295.68+15251.76+3751.16</f>
        <v>8525632.5199999996</v>
      </c>
      <c r="T77" s="1">
        <f>3619155.23+386610.93</f>
        <v>4005766.16</v>
      </c>
      <c r="U77" s="1">
        <f>1992205.58+8591549.02+5323.15+10315.63</f>
        <v>10599393.380000001</v>
      </c>
      <c r="V77" s="1">
        <f>1109752.62+386610.93</f>
        <v>1496363.55</v>
      </c>
      <c r="W77" s="1">
        <f>10545735.23+9823125.67+3422.46+4960.37</f>
        <v>20377243.73</v>
      </c>
      <c r="X77" s="1">
        <f>386610.93+1109752.62</f>
        <v>1496363.55</v>
      </c>
      <c r="Y77" s="1">
        <v>20441640.960000001</v>
      </c>
      <c r="Z77" s="1">
        <v>13308419.82</v>
      </c>
      <c r="AA77" s="19">
        <f>33166250.55+116.03+20185020.65+10333.24-153588.27</f>
        <v>53208132.200000003</v>
      </c>
      <c r="AB77" s="19">
        <f>17535000.48+162811.06-153588.27</f>
        <v>17544223.27</v>
      </c>
      <c r="AC77" s="19">
        <f>44014737.97+19482.3+16465957.71</f>
        <v>60500177.979999997</v>
      </c>
      <c r="AD77" s="19">
        <f>29503554.98+9668501.91</f>
        <v>39172056.890000001</v>
      </c>
      <c r="AE77" s="28">
        <v>11770839.189999999</v>
      </c>
      <c r="AF77" s="28">
        <v>4454905.63</v>
      </c>
      <c r="AG77" s="28">
        <v>401041.57</v>
      </c>
      <c r="AH77" s="12"/>
      <c r="AI77" s="19">
        <v>75253.62</v>
      </c>
      <c r="AJ77" s="19">
        <v>0</v>
      </c>
      <c r="AK77" s="19">
        <v>0</v>
      </c>
      <c r="AL77" s="19"/>
      <c r="AM77" s="12"/>
      <c r="AN77" s="12"/>
      <c r="AO77" s="12"/>
      <c r="AP77" s="12"/>
      <c r="AQ77" s="39"/>
      <c r="AR77" s="39"/>
    </row>
    <row r="78" spans="1:44" x14ac:dyDescent="0.25">
      <c r="A78" s="109" t="s">
        <v>8</v>
      </c>
      <c r="B78" s="1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9">
        <f>174701.03+239873.77</f>
        <v>414574.8</v>
      </c>
      <c r="AB78" s="19"/>
      <c r="AC78" s="19">
        <f>340113.75+6309.58+298211.41</f>
        <v>644634.74</v>
      </c>
      <c r="AD78" s="19"/>
      <c r="AE78" s="28">
        <f>180975.63+90797+9669.95</f>
        <v>281442.58</v>
      </c>
      <c r="AF78" s="12"/>
      <c r="AG78" s="12"/>
      <c r="AH78" s="12"/>
      <c r="AI78" s="19"/>
      <c r="AJ78" s="19"/>
      <c r="AK78" s="19"/>
      <c r="AL78" s="19"/>
      <c r="AM78" s="12"/>
      <c r="AN78" s="12"/>
      <c r="AO78" s="12"/>
      <c r="AP78" s="12"/>
      <c r="AQ78" s="39"/>
      <c r="AR78" s="39"/>
    </row>
    <row r="79" spans="1:44" ht="30" customHeight="1" x14ac:dyDescent="0.25">
      <c r="A79" s="109" t="s">
        <v>9</v>
      </c>
      <c r="B79" s="110"/>
      <c r="C79" s="1"/>
      <c r="D79" s="1"/>
      <c r="E79" s="1"/>
      <c r="F79" s="1"/>
      <c r="G79" s="1">
        <v>-0.01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9">
        <v>150004.17000000001</v>
      </c>
      <c r="AB79" s="19"/>
      <c r="AC79" s="19">
        <f>218911.42+53273.97</f>
        <v>272185.39</v>
      </c>
      <c r="AD79" s="19"/>
      <c r="AE79" s="28">
        <v>185472.7</v>
      </c>
      <c r="AF79" s="12"/>
      <c r="AG79" s="12"/>
      <c r="AH79" s="12"/>
      <c r="AI79" s="19"/>
      <c r="AJ79" s="19"/>
      <c r="AK79" s="19"/>
      <c r="AL79" s="19"/>
      <c r="AM79" s="12"/>
      <c r="AN79" s="12"/>
      <c r="AO79" s="12"/>
      <c r="AP79" s="12"/>
      <c r="AQ79" s="39"/>
      <c r="AR79" s="39"/>
    </row>
    <row r="80" spans="1:44" x14ac:dyDescent="0.25">
      <c r="A80" s="109" t="s">
        <v>10</v>
      </c>
      <c r="B80" s="110"/>
      <c r="C80" s="1"/>
      <c r="D80" s="1"/>
      <c r="E80" s="1"/>
      <c r="F80" s="1"/>
      <c r="G80" s="1">
        <v>-67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v>-94199.79</v>
      </c>
      <c r="Z80" s="1"/>
      <c r="AA80" s="19">
        <f>129635</f>
        <v>129635</v>
      </c>
      <c r="AB80" s="19"/>
      <c r="AC80" s="19"/>
      <c r="AD80" s="19"/>
      <c r="AE80" s="28"/>
      <c r="AF80" s="12"/>
      <c r="AG80" s="12"/>
      <c r="AH80" s="12"/>
      <c r="AI80" s="19"/>
      <c r="AJ80" s="19"/>
      <c r="AK80" s="19"/>
      <c r="AL80" s="19"/>
      <c r="AM80" s="12"/>
      <c r="AN80" s="12"/>
      <c r="AO80" s="12"/>
      <c r="AP80" s="12"/>
      <c r="AQ80" s="39"/>
      <c r="AR80" s="39"/>
    </row>
    <row r="81" spans="1:44" ht="29.25" customHeight="1" x14ac:dyDescent="0.25">
      <c r="A81" s="109" t="s">
        <v>16</v>
      </c>
      <c r="B81" s="110"/>
      <c r="C81" s="1"/>
      <c r="D81" s="1"/>
      <c r="E81" s="1">
        <v>2480.69</v>
      </c>
      <c r="F81" s="1"/>
      <c r="G81" s="1">
        <f>10138.57+19589.11</f>
        <v>29727.68</v>
      </c>
      <c r="H81" s="1"/>
      <c r="I81" s="1">
        <f>14183.88+15638.22</f>
        <v>29822.1</v>
      </c>
      <c r="J81" s="1"/>
      <c r="K81" s="1"/>
      <c r="L81" s="1"/>
      <c r="M81" s="1"/>
      <c r="N81" s="1"/>
      <c r="O81" s="1">
        <v>4458.26</v>
      </c>
      <c r="P81" s="1"/>
      <c r="Q81" s="1"/>
      <c r="R81" s="1"/>
      <c r="S81" s="1"/>
      <c r="T81" s="1"/>
      <c r="U81" s="1"/>
      <c r="V81" s="1"/>
      <c r="W81" s="1"/>
      <c r="X81" s="1"/>
      <c r="Y81" s="1">
        <v>65212.44</v>
      </c>
      <c r="Z81" s="1"/>
      <c r="AA81" s="19">
        <v>153588.26999999999</v>
      </c>
      <c r="AB81" s="19">
        <v>153588.26999999999</v>
      </c>
      <c r="AC81" s="19">
        <v>1100</v>
      </c>
      <c r="AD81" s="19"/>
      <c r="AE81" s="28">
        <v>316.54000000000002</v>
      </c>
      <c r="AF81" s="12"/>
      <c r="AG81" s="12"/>
      <c r="AH81" s="12"/>
      <c r="AI81" s="19"/>
      <c r="AJ81" s="19"/>
      <c r="AK81" s="19"/>
      <c r="AL81" s="19"/>
      <c r="AM81" s="12"/>
      <c r="AN81" s="12"/>
      <c r="AO81" s="12"/>
      <c r="AP81" s="12"/>
      <c r="AQ81" s="39"/>
      <c r="AR81" s="39"/>
    </row>
    <row r="82" spans="1:44" x14ac:dyDescent="0.25">
      <c r="A82" s="111" t="s">
        <v>15</v>
      </c>
      <c r="B82" s="112"/>
      <c r="C82" s="115">
        <v>-1470.89</v>
      </c>
      <c r="D82" s="115">
        <f>SUM(D84:D88)</f>
        <v>0</v>
      </c>
      <c r="E82" s="115">
        <f t="shared" ref="E82:AB82" si="16">SUM(E84:E88)</f>
        <v>741.25</v>
      </c>
      <c r="F82" s="115">
        <f t="shared" si="16"/>
        <v>0</v>
      </c>
      <c r="G82" s="115">
        <f t="shared" si="16"/>
        <v>0</v>
      </c>
      <c r="H82" s="115">
        <f t="shared" si="16"/>
        <v>0</v>
      </c>
      <c r="I82" s="115">
        <f t="shared" si="16"/>
        <v>0</v>
      </c>
      <c r="J82" s="115">
        <f t="shared" si="16"/>
        <v>0</v>
      </c>
      <c r="K82" s="115">
        <f t="shared" si="16"/>
        <v>0</v>
      </c>
      <c r="L82" s="115">
        <f t="shared" si="16"/>
        <v>0</v>
      </c>
      <c r="M82" s="115">
        <f t="shared" si="16"/>
        <v>0</v>
      </c>
      <c r="N82" s="115">
        <f t="shared" si="16"/>
        <v>0</v>
      </c>
      <c r="O82" s="115">
        <f t="shared" si="16"/>
        <v>0</v>
      </c>
      <c r="P82" s="115">
        <f t="shared" si="16"/>
        <v>0</v>
      </c>
      <c r="Q82" s="115">
        <f t="shared" si="16"/>
        <v>0</v>
      </c>
      <c r="R82" s="115">
        <f t="shared" si="16"/>
        <v>0</v>
      </c>
      <c r="S82" s="115">
        <f t="shared" si="16"/>
        <v>0</v>
      </c>
      <c r="T82" s="115">
        <f t="shared" si="16"/>
        <v>0</v>
      </c>
      <c r="U82" s="115">
        <f t="shared" si="16"/>
        <v>0</v>
      </c>
      <c r="V82" s="115">
        <f t="shared" si="16"/>
        <v>0</v>
      </c>
      <c r="W82" s="115">
        <f t="shared" si="16"/>
        <v>0</v>
      </c>
      <c r="X82" s="115">
        <f t="shared" si="16"/>
        <v>0</v>
      </c>
      <c r="Y82" s="115">
        <f t="shared" si="16"/>
        <v>0</v>
      </c>
      <c r="Z82" s="115">
        <f t="shared" si="16"/>
        <v>0</v>
      </c>
      <c r="AA82" s="128">
        <f>AA84+AA85+AA86+AA87+AA88</f>
        <v>84248.31</v>
      </c>
      <c r="AB82" s="128">
        <f t="shared" si="16"/>
        <v>0</v>
      </c>
      <c r="AC82" s="128">
        <f>SUM(AC84:AC88)</f>
        <v>130082.92000000001</v>
      </c>
      <c r="AD82" s="128">
        <f>SUM(AD84:AD88)</f>
        <v>0</v>
      </c>
      <c r="AE82" s="126">
        <f t="shared" ref="AE82:AL82" si="17">AE84+AE85+AE86+AE87+AE88</f>
        <v>122664.07</v>
      </c>
      <c r="AF82" s="126">
        <f t="shared" si="17"/>
        <v>0</v>
      </c>
      <c r="AG82" s="126">
        <f t="shared" si="17"/>
        <v>0</v>
      </c>
      <c r="AH82" s="126">
        <f t="shared" si="17"/>
        <v>0</v>
      </c>
      <c r="AI82" s="122">
        <f t="shared" si="17"/>
        <v>45365.68</v>
      </c>
      <c r="AJ82" s="122">
        <f t="shared" si="17"/>
        <v>0</v>
      </c>
      <c r="AK82" s="122">
        <v>0</v>
      </c>
      <c r="AL82" s="122">
        <f t="shared" si="17"/>
        <v>0</v>
      </c>
      <c r="AM82" s="122">
        <f>AM84+AM85+AM86+AM87+AM88</f>
        <v>51411.68</v>
      </c>
      <c r="AN82" s="122">
        <f>AN84+AN85+AN86+AN87+AN88</f>
        <v>0</v>
      </c>
      <c r="AO82" s="122">
        <f>AO84+AO85+AO86+AO87+AO88</f>
        <v>0</v>
      </c>
      <c r="AP82" s="122">
        <f>AP84+AP85+AP86+AP87+AP88</f>
        <v>0</v>
      </c>
      <c r="AQ82" s="116">
        <f>AM82/AI82-1</f>
        <v>0.13327255317235398</v>
      </c>
      <c r="AR82" s="116" t="e">
        <f>AO82/AK82-1</f>
        <v>#DIV/0!</v>
      </c>
    </row>
    <row r="83" spans="1:44" x14ac:dyDescent="0.25">
      <c r="A83" s="113"/>
      <c r="B83" s="11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25"/>
      <c r="AB83" s="125"/>
      <c r="AC83" s="131"/>
      <c r="AD83" s="125"/>
      <c r="AE83" s="127"/>
      <c r="AF83" s="127"/>
      <c r="AG83" s="127"/>
      <c r="AH83" s="127"/>
      <c r="AI83" s="123"/>
      <c r="AJ83" s="123"/>
      <c r="AK83" s="123"/>
      <c r="AL83" s="123"/>
      <c r="AM83" s="123"/>
      <c r="AN83" s="123"/>
      <c r="AO83" s="123"/>
      <c r="AP83" s="123"/>
      <c r="AQ83" s="117"/>
      <c r="AR83" s="117"/>
    </row>
    <row r="84" spans="1:44" ht="30" customHeight="1" x14ac:dyDescent="0.25">
      <c r="A84" s="109" t="s">
        <v>11</v>
      </c>
      <c r="B84" s="110"/>
      <c r="C84" s="2"/>
      <c r="D84" s="2"/>
      <c r="E84" s="2">
        <v>741.25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6"/>
      <c r="AB84" s="16"/>
      <c r="AC84" s="16">
        <v>5034.4399999999996</v>
      </c>
      <c r="AD84" s="13"/>
      <c r="AE84" s="23">
        <v>354.61</v>
      </c>
      <c r="AF84" s="23"/>
      <c r="AG84" s="23"/>
      <c r="AH84" s="23"/>
      <c r="AI84" s="16"/>
      <c r="AJ84" s="16"/>
      <c r="AK84" s="16"/>
      <c r="AL84" s="16"/>
      <c r="AM84" s="16"/>
      <c r="AN84" s="16"/>
      <c r="AO84" s="16"/>
      <c r="AP84" s="16"/>
      <c r="AQ84" s="24"/>
      <c r="AR84" s="24"/>
    </row>
    <row r="85" spans="1:44" x14ac:dyDescent="0.25">
      <c r="A85" s="109" t="s">
        <v>8</v>
      </c>
      <c r="B85" s="110"/>
      <c r="C85" s="2"/>
      <c r="D85" s="2"/>
      <c r="E85" s="2">
        <v>0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6">
        <v>53091.66</v>
      </c>
      <c r="AB85" s="16"/>
      <c r="AC85" s="16">
        <v>81730</v>
      </c>
      <c r="AD85" s="13"/>
      <c r="AE85" s="23">
        <v>82376</v>
      </c>
      <c r="AF85" s="23"/>
      <c r="AG85" s="23"/>
      <c r="AH85" s="23"/>
      <c r="AI85" s="16">
        <v>28290.47</v>
      </c>
      <c r="AJ85" s="16"/>
      <c r="AK85" s="16"/>
      <c r="AL85" s="16"/>
      <c r="AM85" s="16">
        <v>38421.83</v>
      </c>
      <c r="AN85" s="16"/>
      <c r="AO85" s="16"/>
      <c r="AP85" s="16"/>
      <c r="AQ85" s="24"/>
      <c r="AR85" s="24"/>
    </row>
    <row r="86" spans="1:44" ht="30" customHeight="1" x14ac:dyDescent="0.25">
      <c r="A86" s="109" t="s">
        <v>9</v>
      </c>
      <c r="B86" s="110"/>
      <c r="C86" s="2"/>
      <c r="D86" s="2"/>
      <c r="E86" s="2">
        <v>0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6">
        <v>31156.65</v>
      </c>
      <c r="AB86" s="16"/>
      <c r="AC86" s="16">
        <v>43318.48</v>
      </c>
      <c r="AD86" s="13"/>
      <c r="AE86" s="23">
        <v>39933.46</v>
      </c>
      <c r="AF86" s="23"/>
      <c r="AG86" s="23"/>
      <c r="AH86" s="23"/>
      <c r="AI86" s="16"/>
      <c r="AJ86" s="16"/>
      <c r="AK86" s="16"/>
      <c r="AL86" s="16"/>
      <c r="AM86" s="16"/>
      <c r="AN86" s="16"/>
      <c r="AO86" s="16"/>
      <c r="AP86" s="16"/>
      <c r="AQ86" s="24"/>
      <c r="AR86" s="24"/>
    </row>
    <row r="87" spans="1:44" ht="20.25" customHeight="1" x14ac:dyDescent="0.25">
      <c r="A87" s="109" t="s">
        <v>10</v>
      </c>
      <c r="B87" s="11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6"/>
      <c r="AB87" s="23"/>
      <c r="AC87" s="13"/>
      <c r="AD87" s="13"/>
      <c r="AE87" s="13"/>
      <c r="AF87" s="13"/>
      <c r="AG87" s="13"/>
      <c r="AH87" s="13"/>
      <c r="AI87" s="16">
        <v>17075.21</v>
      </c>
      <c r="AJ87" s="16"/>
      <c r="AK87" s="16"/>
      <c r="AL87" s="16"/>
      <c r="AM87" s="16">
        <v>12989.85</v>
      </c>
      <c r="AN87" s="16"/>
      <c r="AO87" s="16"/>
      <c r="AP87" s="16"/>
      <c r="AQ87" s="24"/>
      <c r="AR87" s="24"/>
    </row>
    <row r="88" spans="1:44" x14ac:dyDescent="0.25">
      <c r="A88" s="109" t="s">
        <v>16</v>
      </c>
      <c r="B88" s="1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31"/>
      <c r="AR88" s="31"/>
    </row>
    <row r="89" spans="1:44" ht="60" hidden="1" x14ac:dyDescent="0.25">
      <c r="A89" s="7" t="s">
        <v>25</v>
      </c>
      <c r="B89" s="7"/>
      <c r="C89" s="9">
        <v>3090165.46</v>
      </c>
      <c r="D89" s="9">
        <v>3090165.46</v>
      </c>
      <c r="E89" s="9">
        <f>SUM(E90:E92)</f>
        <v>0</v>
      </c>
      <c r="F89" s="9">
        <f>SUM(F90:F92)</f>
        <v>0</v>
      </c>
      <c r="G89" s="9">
        <f t="shared" ref="G89:Z89" si="18">SUM(G90:G92)</f>
        <v>0</v>
      </c>
      <c r="H89" s="9">
        <f t="shared" si="18"/>
        <v>0</v>
      </c>
      <c r="I89" s="9">
        <f t="shared" si="18"/>
        <v>0</v>
      </c>
      <c r="J89" s="9">
        <f t="shared" si="18"/>
        <v>0</v>
      </c>
      <c r="K89" s="9">
        <f t="shared" si="18"/>
        <v>0</v>
      </c>
      <c r="L89" s="9">
        <f t="shared" si="18"/>
        <v>0</v>
      </c>
      <c r="M89" s="9">
        <f t="shared" si="18"/>
        <v>0</v>
      </c>
      <c r="N89" s="9">
        <f t="shared" si="18"/>
        <v>0</v>
      </c>
      <c r="O89" s="9">
        <f t="shared" si="18"/>
        <v>0</v>
      </c>
      <c r="P89" s="9">
        <f t="shared" si="18"/>
        <v>0</v>
      </c>
      <c r="Q89" s="9">
        <f t="shared" si="18"/>
        <v>0</v>
      </c>
      <c r="R89" s="9">
        <f t="shared" si="18"/>
        <v>0</v>
      </c>
      <c r="S89" s="9">
        <f t="shared" si="18"/>
        <v>0</v>
      </c>
      <c r="T89" s="9">
        <f t="shared" si="18"/>
        <v>0</v>
      </c>
      <c r="U89" s="9">
        <f t="shared" si="18"/>
        <v>0</v>
      </c>
      <c r="V89" s="9">
        <f t="shared" si="18"/>
        <v>0</v>
      </c>
      <c r="W89" s="9">
        <f t="shared" si="18"/>
        <v>0</v>
      </c>
      <c r="X89" s="9">
        <f t="shared" si="18"/>
        <v>0</v>
      </c>
      <c r="Y89" s="9">
        <f t="shared" si="18"/>
        <v>0</v>
      </c>
      <c r="Z89" s="9">
        <f t="shared" si="18"/>
        <v>0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129">
        <v>0</v>
      </c>
      <c r="AR89" s="129">
        <v>0</v>
      </c>
    </row>
    <row r="90" spans="1:44" hidden="1" x14ac:dyDescent="0.25">
      <c r="A90" s="109" t="s">
        <v>10</v>
      </c>
      <c r="B90" s="132"/>
      <c r="C90" s="2"/>
      <c r="D90" s="2"/>
      <c r="E90" s="2"/>
      <c r="F90" s="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3"/>
      <c r="AB90" s="13"/>
      <c r="AC90" s="13"/>
      <c r="AD90" s="13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130"/>
      <c r="AR90" s="130"/>
    </row>
    <row r="91" spans="1:44" hidden="1" x14ac:dyDescent="0.25">
      <c r="A91" s="133" t="s">
        <v>24</v>
      </c>
      <c r="B91" s="132"/>
      <c r="C91" s="9">
        <f>4008760.53+5844431.63+14283.75+179317.37</f>
        <v>10046793.279999999</v>
      </c>
      <c r="D91" s="9">
        <f>989699.04+1910943.77</f>
        <v>2900642.81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32"/>
      <c r="AR91" s="32"/>
    </row>
    <row r="92" spans="1:44" hidden="1" x14ac:dyDescent="0.25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31"/>
      <c r="AR92" s="31"/>
    </row>
    <row r="93" spans="1:44" x14ac:dyDescent="0.25">
      <c r="A93" s="133" t="s">
        <v>12</v>
      </c>
      <c r="B93" s="132"/>
      <c r="C93" s="10">
        <f>C8+C33+C40+C47+C54+C61+C68+C75+C82+C89+C91</f>
        <v>94587677.819999993</v>
      </c>
      <c r="D93" s="10">
        <f>D8+D33+D40+D47+D54+D61+D68+D75+D82+D89+D91</f>
        <v>68008770.719999999</v>
      </c>
      <c r="E93" s="10">
        <f>E8+E33+E40+E47+E54+E61+E68+E75+E82+E89</f>
        <v>85864729.75999999</v>
      </c>
      <c r="F93" s="10">
        <f>F8+F33+F40+F47+F54+F61+F68+F75+F82+F89</f>
        <v>66510808.209999993</v>
      </c>
      <c r="G93" s="10">
        <f t="shared" ref="G93:Y93" si="19">G8+G33+G40+G47+G54+G61+G68+G75+G82+G89</f>
        <v>93511066.090000018</v>
      </c>
      <c r="H93" s="10">
        <f t="shared" si="19"/>
        <v>66963948.660000004</v>
      </c>
      <c r="I93" s="10">
        <f t="shared" si="19"/>
        <v>92440148.88000001</v>
      </c>
      <c r="J93" s="10">
        <f t="shared" si="19"/>
        <v>69371696.100000009</v>
      </c>
      <c r="K93" s="10">
        <f t="shared" si="19"/>
        <v>93692017.959999993</v>
      </c>
      <c r="L93" s="10">
        <f t="shared" si="19"/>
        <v>72494645.030000001</v>
      </c>
      <c r="M93" s="10">
        <f t="shared" si="19"/>
        <v>95350288.340000004</v>
      </c>
      <c r="N93" s="10">
        <f t="shared" si="19"/>
        <v>74699098.340000004</v>
      </c>
      <c r="O93" s="10">
        <f t="shared" si="19"/>
        <v>92952938.269999996</v>
      </c>
      <c r="P93" s="10">
        <f t="shared" si="19"/>
        <v>82357876.220000014</v>
      </c>
      <c r="Q93" s="10">
        <f t="shared" si="19"/>
        <v>97449531.209999979</v>
      </c>
      <c r="R93" s="10">
        <f t="shared" si="19"/>
        <v>74441297.569999993</v>
      </c>
      <c r="S93" s="10">
        <f t="shared" si="19"/>
        <v>96755275.489999995</v>
      </c>
      <c r="T93" s="10">
        <f t="shared" si="19"/>
        <v>74719949.890000001</v>
      </c>
      <c r="U93" s="10">
        <f t="shared" si="19"/>
        <v>97352731.719999984</v>
      </c>
      <c r="V93" s="10">
        <f t="shared" si="19"/>
        <v>74918061.669999987</v>
      </c>
      <c r="W93" s="10">
        <f t="shared" si="19"/>
        <v>103431682.53</v>
      </c>
      <c r="X93" s="10">
        <f t="shared" si="19"/>
        <v>71550048.36999999</v>
      </c>
      <c r="Y93" s="10">
        <f t="shared" si="19"/>
        <v>139512827.16999999</v>
      </c>
      <c r="Z93" s="10">
        <f>Z8+Z33+Z40+Z47+Z54+Z61+Z68+Z75+Z82+Z89</f>
        <v>116277638.82999998</v>
      </c>
      <c r="AA93" s="20">
        <f>AA8+AA33+AA40+AA47+AA54+AA61+AA68+AA75+AA82+AA89</f>
        <v>136792938.08000001</v>
      </c>
      <c r="AB93" s="20">
        <f>AB8+AB33+AB40+AB47+AB54+AB61+AB68+AB75+AB82+AB89</f>
        <v>43344897.469999999</v>
      </c>
      <c r="AC93" s="20">
        <f>AC8+AC33+AC40+AC47+AC54+AC61+AC68+AC75+AC82+AC89</f>
        <v>211086618.58000001</v>
      </c>
      <c r="AD93" s="20">
        <f>AD8+AD33+AD40+AD47+AD54+AD61+AD68+AD75+AD82+AD89</f>
        <v>119975047.31999999</v>
      </c>
      <c r="AE93" s="10">
        <f t="shared" ref="AE93:AL93" si="20">AE8+AE33+AE40+AE47+AE54+AE61+AE75+AE82</f>
        <v>210062888.64999998</v>
      </c>
      <c r="AF93" s="10">
        <f t="shared" si="20"/>
        <v>99495187.609999999</v>
      </c>
      <c r="AG93" s="10">
        <f t="shared" si="20"/>
        <v>86313931.799999982</v>
      </c>
      <c r="AH93" s="10">
        <f t="shared" si="20"/>
        <v>23141374.309999999</v>
      </c>
      <c r="AI93" s="20">
        <f t="shared" si="20"/>
        <v>128946217.90000001</v>
      </c>
      <c r="AJ93" s="20">
        <f t="shared" si="20"/>
        <v>32163242.649999999</v>
      </c>
      <c r="AK93" s="20">
        <f t="shared" si="20"/>
        <v>14429840.109999999</v>
      </c>
      <c r="AL93" s="20">
        <f t="shared" si="20"/>
        <v>0</v>
      </c>
      <c r="AM93" s="60">
        <f>AM8+AM33+AM40+AM47+AM54+AM61+AM75+AM82+AM15+AM21+AM27</f>
        <v>114267073.33000001</v>
      </c>
      <c r="AN93" s="60">
        <f t="shared" ref="AN93:AP93" si="21">AN8+AN33+AN40+AN47+AN54+AN61+AN75+AN82+AN15+AN21+AN27</f>
        <v>31705722.439999998</v>
      </c>
      <c r="AO93" s="60">
        <f t="shared" si="21"/>
        <v>8916566.9699999988</v>
      </c>
      <c r="AP93" s="60">
        <f t="shared" si="21"/>
        <v>0</v>
      </c>
      <c r="AQ93" s="61">
        <f>AM93/AI93-1</f>
        <v>-0.11383927973276364</v>
      </c>
      <c r="AR93" s="61">
        <f>AO93/AK93-1</f>
        <v>-0.3820744442053281</v>
      </c>
    </row>
    <row r="94" spans="1:44" x14ac:dyDescent="0.25">
      <c r="A94" s="109" t="s">
        <v>11</v>
      </c>
      <c r="B94" s="132"/>
      <c r="C94" s="2">
        <f t="shared" ref="C94:AD98" si="22">C10+C35+C42+C49+C56+C63+C70+C77+C84</f>
        <v>0</v>
      </c>
      <c r="D94" s="2">
        <f t="shared" si="22"/>
        <v>0</v>
      </c>
      <c r="E94" s="2">
        <f t="shared" si="22"/>
        <v>17953226.410000004</v>
      </c>
      <c r="F94" s="2">
        <f t="shared" si="22"/>
        <v>6382951.8399999943</v>
      </c>
      <c r="G94" s="2">
        <f t="shared" si="22"/>
        <v>19216097.170000002</v>
      </c>
      <c r="H94" s="2">
        <f t="shared" si="22"/>
        <v>6555841.7200000007</v>
      </c>
      <c r="I94" s="2">
        <f t="shared" si="22"/>
        <v>22865503.460000001</v>
      </c>
      <c r="J94" s="2">
        <f t="shared" si="22"/>
        <v>5864947.9199999999</v>
      </c>
      <c r="K94" s="2">
        <f t="shared" si="22"/>
        <v>17090632.079999998</v>
      </c>
      <c r="L94" s="2">
        <f t="shared" si="22"/>
        <v>5837825.0099999998</v>
      </c>
      <c r="M94" s="2">
        <f t="shared" si="22"/>
        <v>16099291.18</v>
      </c>
      <c r="N94" s="2">
        <f t="shared" si="22"/>
        <v>7784857.7199999997</v>
      </c>
      <c r="O94" s="2">
        <f t="shared" si="22"/>
        <v>16094244.300000001</v>
      </c>
      <c r="P94" s="2">
        <f t="shared" si="22"/>
        <v>7902977.2199999997</v>
      </c>
      <c r="Q94" s="2">
        <f t="shared" si="22"/>
        <v>20791692.359999999</v>
      </c>
      <c r="R94" s="2">
        <f t="shared" si="22"/>
        <v>7175180.9199999999</v>
      </c>
      <c r="S94" s="2">
        <f t="shared" si="22"/>
        <v>20070445.379999999</v>
      </c>
      <c r="T94" s="2">
        <f t="shared" si="22"/>
        <v>6987489.4900000002</v>
      </c>
      <c r="U94" s="2">
        <f t="shared" si="22"/>
        <v>24410984.270000003</v>
      </c>
      <c r="V94" s="2">
        <f t="shared" si="22"/>
        <v>4182653.4699999997</v>
      </c>
      <c r="W94" s="2">
        <f t="shared" si="22"/>
        <v>34358661.780000001</v>
      </c>
      <c r="X94" s="2">
        <f t="shared" si="22"/>
        <v>4756662.17</v>
      </c>
      <c r="Y94" s="2">
        <f t="shared" si="22"/>
        <v>37550191.880000003</v>
      </c>
      <c r="Z94" s="2">
        <f t="shared" si="22"/>
        <v>19969076.690000001</v>
      </c>
      <c r="AA94" s="16">
        <f t="shared" si="22"/>
        <v>78679277.219999999</v>
      </c>
      <c r="AB94" s="16">
        <f t="shared" si="22"/>
        <v>28544503.479999997</v>
      </c>
      <c r="AC94" s="16">
        <f t="shared" si="22"/>
        <v>97897786.019999981</v>
      </c>
      <c r="AD94" s="16">
        <f t="shared" si="22"/>
        <v>50095879.390000001</v>
      </c>
      <c r="AE94" s="23">
        <f t="shared" ref="AE94:AL98" si="23">AE10+AE35+AE42+AE49+AE56+AE63+AE77+AE84</f>
        <v>108565286.30999999</v>
      </c>
      <c r="AF94" s="23">
        <f t="shared" si="23"/>
        <v>66674832.540000007</v>
      </c>
      <c r="AG94" s="23">
        <f t="shared" si="23"/>
        <v>32847516.43</v>
      </c>
      <c r="AH94" s="23">
        <f t="shared" si="23"/>
        <v>21260780.43</v>
      </c>
      <c r="AI94" s="16">
        <f t="shared" si="23"/>
        <v>59026929.369999997</v>
      </c>
      <c r="AJ94" s="16">
        <f t="shared" si="23"/>
        <v>219982.55</v>
      </c>
      <c r="AK94" s="16">
        <f t="shared" si="23"/>
        <v>3777110.1399999997</v>
      </c>
      <c r="AL94" s="16">
        <f t="shared" si="23"/>
        <v>0</v>
      </c>
      <c r="AM94" s="13">
        <f>AM10+AM35+AM42+AM49+AM56+AM63+AM77+AM84+AM16+AM22+AM28</f>
        <v>59248797.259999998</v>
      </c>
      <c r="AN94" s="13">
        <f t="shared" ref="AN94:AP98" si="24">AN10+AN35+AN42+AN49+AN56+AN63+AN77+AN84+AN16+AN22+AN28</f>
        <v>6335798.0500000007</v>
      </c>
      <c r="AO94" s="13">
        <f t="shared" si="24"/>
        <v>2920343.81</v>
      </c>
      <c r="AP94" s="13">
        <f t="shared" si="24"/>
        <v>0</v>
      </c>
      <c r="AQ94" s="62"/>
      <c r="AR94" s="62"/>
    </row>
    <row r="95" spans="1:44" x14ac:dyDescent="0.25">
      <c r="A95" s="109" t="s">
        <v>8</v>
      </c>
      <c r="B95" s="132"/>
      <c r="C95" s="2">
        <f t="shared" si="22"/>
        <v>0</v>
      </c>
      <c r="D95" s="2">
        <f t="shared" si="22"/>
        <v>0</v>
      </c>
      <c r="E95" s="2">
        <f t="shared" si="22"/>
        <v>0</v>
      </c>
      <c r="F95" s="2">
        <f t="shared" si="22"/>
        <v>0</v>
      </c>
      <c r="G95" s="2">
        <f t="shared" si="22"/>
        <v>1611249.67</v>
      </c>
      <c r="H95" s="2">
        <f t="shared" si="22"/>
        <v>0</v>
      </c>
      <c r="I95" s="2">
        <f t="shared" si="22"/>
        <v>1404831.87</v>
      </c>
      <c r="J95" s="2">
        <f t="shared" si="22"/>
        <v>0</v>
      </c>
      <c r="K95" s="2">
        <f t="shared" si="22"/>
        <v>2089553.3599999999</v>
      </c>
      <c r="L95" s="2">
        <f t="shared" si="22"/>
        <v>0</v>
      </c>
      <c r="M95" s="2">
        <f t="shared" si="22"/>
        <v>1291836.76</v>
      </c>
      <c r="N95" s="2">
        <f t="shared" si="22"/>
        <v>0</v>
      </c>
      <c r="O95" s="2">
        <f t="shared" si="22"/>
        <v>1343049.24</v>
      </c>
      <c r="P95" s="2">
        <f t="shared" si="22"/>
        <v>0</v>
      </c>
      <c r="Q95" s="2">
        <f t="shared" si="22"/>
        <v>1452525.99</v>
      </c>
      <c r="R95" s="2">
        <f t="shared" si="22"/>
        <v>0</v>
      </c>
      <c r="S95" s="2">
        <f t="shared" si="22"/>
        <v>1242140.78</v>
      </c>
      <c r="T95" s="2">
        <f t="shared" si="22"/>
        <v>0</v>
      </c>
      <c r="U95" s="2">
        <f t="shared" si="22"/>
        <v>1196585.6499999999</v>
      </c>
      <c r="V95" s="2">
        <f t="shared" si="22"/>
        <v>0</v>
      </c>
      <c r="W95" s="2">
        <f t="shared" si="22"/>
        <v>1283435.7</v>
      </c>
      <c r="X95" s="2">
        <f t="shared" si="22"/>
        <v>0</v>
      </c>
      <c r="Y95" s="2">
        <f t="shared" si="22"/>
        <v>0</v>
      </c>
      <c r="Z95" s="2">
        <f t="shared" si="22"/>
        <v>0</v>
      </c>
      <c r="AA95" s="16">
        <f t="shared" si="22"/>
        <v>28007459.789999999</v>
      </c>
      <c r="AB95" s="16">
        <f t="shared" si="22"/>
        <v>0</v>
      </c>
      <c r="AC95" s="16">
        <f t="shared" si="22"/>
        <v>33425614.419999998</v>
      </c>
      <c r="AD95" s="16">
        <f t="shared" si="22"/>
        <v>0</v>
      </c>
      <c r="AE95" s="23">
        <f t="shared" si="23"/>
        <v>33462185.5</v>
      </c>
      <c r="AF95" s="23">
        <f t="shared" si="23"/>
        <v>18386199.240000002</v>
      </c>
      <c r="AG95" s="23">
        <f t="shared" si="23"/>
        <v>0</v>
      </c>
      <c r="AH95" s="23">
        <f t="shared" si="23"/>
        <v>0</v>
      </c>
      <c r="AI95" s="16">
        <f t="shared" si="23"/>
        <v>36363970.560000002</v>
      </c>
      <c r="AJ95" s="16">
        <f t="shared" si="23"/>
        <v>19065790.949999999</v>
      </c>
      <c r="AK95" s="16">
        <f t="shared" si="23"/>
        <v>0</v>
      </c>
      <c r="AL95" s="16">
        <f t="shared" si="23"/>
        <v>0</v>
      </c>
      <c r="AM95" s="13">
        <f>AM11+AM36+AM43+AM50+AM57+AM64+AM78+AM85+AM17+AM23+AM29</f>
        <v>30914593.829999998</v>
      </c>
      <c r="AN95" s="13">
        <f t="shared" si="24"/>
        <v>16392895.92</v>
      </c>
      <c r="AO95" s="13">
        <f t="shared" si="24"/>
        <v>0</v>
      </c>
      <c r="AP95" s="13">
        <f t="shared" si="24"/>
        <v>0</v>
      </c>
      <c r="AQ95" s="63"/>
      <c r="AR95" s="63"/>
    </row>
    <row r="96" spans="1:44" x14ac:dyDescent="0.25">
      <c r="A96" s="109" t="s">
        <v>9</v>
      </c>
      <c r="B96" s="132"/>
      <c r="C96" s="2">
        <f t="shared" si="22"/>
        <v>0</v>
      </c>
      <c r="D96" s="2">
        <f t="shared" si="22"/>
        <v>0</v>
      </c>
      <c r="E96" s="2">
        <f t="shared" si="22"/>
        <v>5781112.8999999994</v>
      </c>
      <c r="F96" s="2">
        <f t="shared" si="22"/>
        <v>0</v>
      </c>
      <c r="G96" s="2">
        <f t="shared" si="22"/>
        <v>841993.46</v>
      </c>
      <c r="H96" s="2">
        <f t="shared" si="22"/>
        <v>0</v>
      </c>
      <c r="I96" s="2">
        <f t="shared" si="22"/>
        <v>730672.66</v>
      </c>
      <c r="J96" s="2">
        <f t="shared" si="22"/>
        <v>0</v>
      </c>
      <c r="K96" s="2">
        <f t="shared" si="22"/>
        <v>907890.05999999994</v>
      </c>
      <c r="L96" s="2">
        <f t="shared" si="22"/>
        <v>0</v>
      </c>
      <c r="M96" s="2">
        <f t="shared" si="22"/>
        <v>596611.02</v>
      </c>
      <c r="N96" s="2">
        <f t="shared" si="22"/>
        <v>0</v>
      </c>
      <c r="O96" s="2">
        <f t="shared" si="22"/>
        <v>806056.14</v>
      </c>
      <c r="P96" s="2">
        <f t="shared" si="22"/>
        <v>0</v>
      </c>
      <c r="Q96" s="2">
        <f t="shared" si="22"/>
        <v>910579.46000000008</v>
      </c>
      <c r="R96" s="2">
        <f t="shared" si="22"/>
        <v>0</v>
      </c>
      <c r="S96" s="2">
        <f t="shared" si="22"/>
        <v>832315.84</v>
      </c>
      <c r="T96" s="2">
        <f t="shared" si="22"/>
        <v>0</v>
      </c>
      <c r="U96" s="2">
        <f t="shared" si="22"/>
        <v>786043.03</v>
      </c>
      <c r="V96" s="2">
        <f t="shared" si="22"/>
        <v>0</v>
      </c>
      <c r="W96" s="2">
        <f t="shared" si="22"/>
        <v>782576.37000000011</v>
      </c>
      <c r="X96" s="2">
        <f t="shared" si="22"/>
        <v>0</v>
      </c>
      <c r="Y96" s="2">
        <f t="shared" si="22"/>
        <v>4770499.5100000007</v>
      </c>
      <c r="Z96" s="2">
        <f t="shared" si="22"/>
        <v>0</v>
      </c>
      <c r="AA96" s="16">
        <f t="shared" si="22"/>
        <v>11517101.640000001</v>
      </c>
      <c r="AB96" s="16">
        <f t="shared" si="22"/>
        <v>0</v>
      </c>
      <c r="AC96" s="16">
        <f t="shared" si="22"/>
        <v>17564868.849999998</v>
      </c>
      <c r="AD96" s="16">
        <f t="shared" si="22"/>
        <v>11291466.59</v>
      </c>
      <c r="AE96" s="23">
        <f t="shared" si="23"/>
        <v>25972037.23</v>
      </c>
      <c r="AF96" s="23">
        <f t="shared" si="23"/>
        <v>12978010.970000001</v>
      </c>
      <c r="AG96" s="23">
        <f t="shared" si="23"/>
        <v>14772077.07</v>
      </c>
      <c r="AH96" s="23">
        <f t="shared" si="23"/>
        <v>1220473.1199999999</v>
      </c>
      <c r="AI96" s="16">
        <f t="shared" si="23"/>
        <v>19092310.379999999</v>
      </c>
      <c r="AJ96" s="16">
        <f t="shared" si="23"/>
        <v>9924703.2199999988</v>
      </c>
      <c r="AK96" s="16">
        <f t="shared" si="23"/>
        <v>0</v>
      </c>
      <c r="AL96" s="16">
        <f t="shared" si="23"/>
        <v>0</v>
      </c>
      <c r="AM96" s="13">
        <f>AM12+AM37+AM44+AM51+AM58+AM65+AM79+AM86+AM18+AM24+AM30</f>
        <v>14130603.029999999</v>
      </c>
      <c r="AN96" s="13">
        <f t="shared" si="24"/>
        <v>8250570.1799999997</v>
      </c>
      <c r="AO96" s="13">
        <f t="shared" si="24"/>
        <v>0</v>
      </c>
      <c r="AP96" s="13">
        <f t="shared" si="24"/>
        <v>0</v>
      </c>
      <c r="AQ96" s="63"/>
      <c r="AR96" s="63"/>
    </row>
    <row r="97" spans="1:44" x14ac:dyDescent="0.25">
      <c r="A97" s="109" t="s">
        <v>10</v>
      </c>
      <c r="B97" s="132"/>
      <c r="C97" s="2">
        <f t="shared" ref="C97:Z97" si="25">C13+C38+C45+C52+C59+C66+C73+C80+C87+C90</f>
        <v>0</v>
      </c>
      <c r="D97" s="2">
        <f t="shared" si="25"/>
        <v>0</v>
      </c>
      <c r="E97" s="2">
        <f t="shared" si="25"/>
        <v>60461371.310000002</v>
      </c>
      <c r="F97" s="2">
        <f t="shared" si="25"/>
        <v>58245420.57</v>
      </c>
      <c r="G97" s="2">
        <f t="shared" si="25"/>
        <v>69929562.310000002</v>
      </c>
      <c r="H97" s="2">
        <f t="shared" si="25"/>
        <v>58525671.140000001</v>
      </c>
      <c r="I97" s="2">
        <f t="shared" si="25"/>
        <v>65526882.990000002</v>
      </c>
      <c r="J97" s="2">
        <f t="shared" si="25"/>
        <v>61624312.380000003</v>
      </c>
      <c r="K97" s="2">
        <f t="shared" si="25"/>
        <v>71721506.659999996</v>
      </c>
      <c r="L97" s="2">
        <f t="shared" si="25"/>
        <v>64774384.220000006</v>
      </c>
      <c r="M97" s="2">
        <f t="shared" si="25"/>
        <v>75480113.579999998</v>
      </c>
      <c r="N97" s="2">
        <f t="shared" si="25"/>
        <v>65031804.82</v>
      </c>
      <c r="O97" s="2">
        <f t="shared" si="25"/>
        <v>72791361.200000003</v>
      </c>
      <c r="P97" s="2">
        <f t="shared" si="25"/>
        <v>72572463.200000003</v>
      </c>
      <c r="Q97" s="2">
        <f t="shared" si="25"/>
        <v>72380297.609999999</v>
      </c>
      <c r="R97" s="2">
        <f t="shared" si="25"/>
        <v>65383680.850000001</v>
      </c>
      <c r="S97" s="2">
        <f t="shared" si="25"/>
        <v>72695876.399999991</v>
      </c>
      <c r="T97" s="2">
        <f t="shared" si="25"/>
        <v>65850024.600000001</v>
      </c>
      <c r="U97" s="2">
        <f t="shared" si="25"/>
        <v>69041659.049999997</v>
      </c>
      <c r="V97" s="2">
        <f t="shared" si="25"/>
        <v>68852972.399999991</v>
      </c>
      <c r="W97" s="2">
        <f t="shared" si="25"/>
        <v>65102023.400000006</v>
      </c>
      <c r="X97" s="2">
        <f t="shared" si="25"/>
        <v>64910950.400000006</v>
      </c>
      <c r="Y97" s="2">
        <f t="shared" si="25"/>
        <v>66208215.299999997</v>
      </c>
      <c r="Z97" s="2">
        <f t="shared" si="25"/>
        <v>65394874.099999994</v>
      </c>
      <c r="AA97" s="16">
        <f t="shared" si="22"/>
        <v>14182522.93</v>
      </c>
      <c r="AB97" s="16">
        <f t="shared" si="22"/>
        <v>12430432.640000001</v>
      </c>
      <c r="AC97" s="16">
        <f t="shared" si="22"/>
        <v>21845555.419999998</v>
      </c>
      <c r="AD97" s="16">
        <f t="shared" si="22"/>
        <v>20453326.48</v>
      </c>
      <c r="AE97" s="23">
        <f t="shared" si="23"/>
        <v>8512543.2200000007</v>
      </c>
      <c r="AF97" s="23">
        <f t="shared" si="23"/>
        <v>93556.36</v>
      </c>
      <c r="AG97" s="23">
        <f t="shared" si="23"/>
        <v>7493731.0800000001</v>
      </c>
      <c r="AH97" s="23">
        <f t="shared" si="23"/>
        <v>0</v>
      </c>
      <c r="AI97" s="16">
        <f t="shared" si="23"/>
        <v>6592704.9900000012</v>
      </c>
      <c r="AJ97" s="16">
        <f t="shared" si="23"/>
        <v>92285.57</v>
      </c>
      <c r="AK97" s="16">
        <f t="shared" si="23"/>
        <v>5647572.7300000004</v>
      </c>
      <c r="AL97" s="16">
        <f t="shared" si="23"/>
        <v>0</v>
      </c>
      <c r="AM97" s="13">
        <f>AM13+AM38+AM45+AM52+AM59+AM66+AM80+AM87+AM19+AM25+AM31</f>
        <v>8312760.96</v>
      </c>
      <c r="AN97" s="13">
        <f t="shared" si="24"/>
        <v>101555.26</v>
      </c>
      <c r="AO97" s="13">
        <f t="shared" si="24"/>
        <v>5996223.1600000001</v>
      </c>
      <c r="AP97" s="13">
        <f t="shared" si="24"/>
        <v>0</v>
      </c>
      <c r="AQ97" s="63"/>
      <c r="AR97" s="63"/>
    </row>
    <row r="98" spans="1:44" x14ac:dyDescent="0.25">
      <c r="A98" s="109" t="s">
        <v>16</v>
      </c>
      <c r="B98" s="132"/>
      <c r="C98" s="2">
        <f t="shared" ref="C98:Z98" si="26">C14+C39+C46+C53+C60+C67+C74+C81+C88</f>
        <v>0</v>
      </c>
      <c r="D98" s="2">
        <f t="shared" si="26"/>
        <v>0</v>
      </c>
      <c r="E98" s="2">
        <f t="shared" si="26"/>
        <v>1669019.14</v>
      </c>
      <c r="F98" s="2">
        <f t="shared" si="26"/>
        <v>1882435.7999999998</v>
      </c>
      <c r="G98" s="2">
        <f t="shared" si="26"/>
        <v>1912163.48</v>
      </c>
      <c r="H98" s="2">
        <f t="shared" si="26"/>
        <v>1882435.8</v>
      </c>
      <c r="I98" s="2">
        <f t="shared" si="26"/>
        <v>1912257.9000000001</v>
      </c>
      <c r="J98" s="2">
        <f t="shared" si="26"/>
        <v>1882435.8</v>
      </c>
      <c r="K98" s="2">
        <f t="shared" si="26"/>
        <v>1882435.8</v>
      </c>
      <c r="L98" s="2">
        <f t="shared" si="26"/>
        <v>1882435.8</v>
      </c>
      <c r="M98" s="2">
        <f t="shared" si="26"/>
        <v>1882435.8</v>
      </c>
      <c r="N98" s="2">
        <f t="shared" si="26"/>
        <v>1882435.8</v>
      </c>
      <c r="O98" s="2">
        <f t="shared" si="26"/>
        <v>1918227.3900000001</v>
      </c>
      <c r="P98" s="2">
        <f t="shared" si="26"/>
        <v>1882435.8</v>
      </c>
      <c r="Q98" s="2">
        <f t="shared" si="26"/>
        <v>1914435.79</v>
      </c>
      <c r="R98" s="2">
        <f t="shared" si="26"/>
        <v>1882435.8</v>
      </c>
      <c r="S98" s="2">
        <f t="shared" si="26"/>
        <v>1914497.09</v>
      </c>
      <c r="T98" s="2">
        <f t="shared" si="26"/>
        <v>1882435.8</v>
      </c>
      <c r="U98" s="2">
        <f t="shared" si="26"/>
        <v>1917459.72</v>
      </c>
      <c r="V98" s="2">
        <f t="shared" si="26"/>
        <v>1882435.8</v>
      </c>
      <c r="W98" s="2">
        <f t="shared" si="26"/>
        <v>1904985.28</v>
      </c>
      <c r="X98" s="2">
        <f t="shared" si="26"/>
        <v>1882435.8</v>
      </c>
      <c r="Y98" s="2">
        <f t="shared" si="26"/>
        <v>30983920.480000004</v>
      </c>
      <c r="Z98" s="2">
        <f t="shared" si="26"/>
        <v>30913688.039999999</v>
      </c>
      <c r="AA98" s="16">
        <f t="shared" si="22"/>
        <v>4406576.5</v>
      </c>
      <c r="AB98" s="16">
        <f t="shared" si="22"/>
        <v>2369961.35</v>
      </c>
      <c r="AC98" s="16">
        <f t="shared" si="22"/>
        <v>40352793.869999997</v>
      </c>
      <c r="AD98" s="16">
        <f t="shared" si="22"/>
        <v>38134374.859999999</v>
      </c>
      <c r="AE98" s="23">
        <f t="shared" si="23"/>
        <v>33550836.390000001</v>
      </c>
      <c r="AF98" s="23">
        <f t="shared" si="23"/>
        <v>1362588.5</v>
      </c>
      <c r="AG98" s="23">
        <f t="shared" si="23"/>
        <v>31200607.219999999</v>
      </c>
      <c r="AH98" s="23">
        <f t="shared" si="23"/>
        <v>660120.76</v>
      </c>
      <c r="AI98" s="16">
        <f t="shared" si="23"/>
        <v>7870302.5999999996</v>
      </c>
      <c r="AJ98" s="16">
        <f t="shared" si="23"/>
        <v>2860480.3600000003</v>
      </c>
      <c r="AK98" s="16">
        <f t="shared" si="23"/>
        <v>5005157.24</v>
      </c>
      <c r="AL98" s="16">
        <f t="shared" si="23"/>
        <v>0</v>
      </c>
      <c r="AM98" s="13">
        <f>AM14+AM39+AM46+AM53+AM60+AM67+AM81+AM88+AM20+AM26+AM32</f>
        <v>1660318.25</v>
      </c>
      <c r="AN98" s="13">
        <f t="shared" si="24"/>
        <v>624903.03</v>
      </c>
      <c r="AO98" s="13">
        <f t="shared" si="24"/>
        <v>0</v>
      </c>
      <c r="AP98" s="13">
        <f t="shared" si="24"/>
        <v>0</v>
      </c>
      <c r="AQ98" s="63"/>
      <c r="AR98" s="63"/>
    </row>
    <row r="99" spans="1:44" x14ac:dyDescent="0.25">
      <c r="A99" s="133" t="s">
        <v>20</v>
      </c>
      <c r="B99" s="132"/>
      <c r="C99" s="3">
        <v>19700824</v>
      </c>
      <c r="D99" s="3"/>
      <c r="E99" s="3">
        <v>30646350</v>
      </c>
      <c r="F99" s="3"/>
      <c r="G99" s="3">
        <v>30646350</v>
      </c>
      <c r="H99" s="3"/>
      <c r="I99" s="3">
        <v>30646350</v>
      </c>
      <c r="J99" s="3"/>
      <c r="K99" s="3">
        <v>30646350</v>
      </c>
      <c r="L99" s="3"/>
      <c r="M99" s="3">
        <v>30646350</v>
      </c>
      <c r="N99" s="3"/>
      <c r="O99" s="3">
        <v>30646350</v>
      </c>
      <c r="P99" s="3"/>
      <c r="Q99" s="3">
        <v>30646350</v>
      </c>
      <c r="R99" s="3"/>
      <c r="S99" s="3">
        <v>39646350</v>
      </c>
      <c r="T99" s="3"/>
      <c r="U99" s="3">
        <v>39646350</v>
      </c>
      <c r="V99" s="3"/>
      <c r="W99" s="3">
        <v>39646350</v>
      </c>
      <c r="X99" s="3"/>
      <c r="Y99" s="3">
        <v>39592849</v>
      </c>
      <c r="Z99" s="3"/>
      <c r="AA99" s="22">
        <v>43884741</v>
      </c>
      <c r="AB99" s="18"/>
      <c r="AC99" s="22">
        <v>38729175</v>
      </c>
      <c r="AD99" s="18"/>
      <c r="AE99" s="3">
        <v>15529000</v>
      </c>
      <c r="AF99" s="18"/>
      <c r="AG99" s="18"/>
      <c r="AH99" s="18"/>
      <c r="AI99" s="22">
        <v>1250000</v>
      </c>
      <c r="AJ99" s="22"/>
      <c r="AK99" s="22"/>
      <c r="AL99" s="22"/>
      <c r="AM99" s="18">
        <v>0</v>
      </c>
      <c r="AN99" s="18"/>
      <c r="AO99" s="18"/>
      <c r="AP99" s="18"/>
      <c r="AQ99" s="63"/>
      <c r="AR99" s="63"/>
    </row>
    <row r="100" spans="1:44" x14ac:dyDescent="0.25">
      <c r="A100" s="133" t="s">
        <v>21</v>
      </c>
      <c r="B100" s="132"/>
      <c r="C100" s="3">
        <f t="shared" ref="C100:AA100" si="27">C93+C99</f>
        <v>114288501.81999999</v>
      </c>
      <c r="D100" s="3">
        <f t="shared" si="27"/>
        <v>68008770.719999999</v>
      </c>
      <c r="E100" s="3">
        <f t="shared" si="27"/>
        <v>116511079.75999999</v>
      </c>
      <c r="F100" s="3">
        <f t="shared" si="27"/>
        <v>66510808.209999993</v>
      </c>
      <c r="G100" s="3">
        <f t="shared" si="27"/>
        <v>124157416.09000002</v>
      </c>
      <c r="H100" s="3">
        <f t="shared" si="27"/>
        <v>66963948.660000004</v>
      </c>
      <c r="I100" s="3">
        <f t="shared" si="27"/>
        <v>123086498.88000001</v>
      </c>
      <c r="J100" s="3">
        <f t="shared" si="27"/>
        <v>69371696.100000009</v>
      </c>
      <c r="K100" s="3">
        <f t="shared" si="27"/>
        <v>124338367.95999999</v>
      </c>
      <c r="L100" s="3">
        <f t="shared" si="27"/>
        <v>72494645.030000001</v>
      </c>
      <c r="M100" s="3">
        <f t="shared" si="27"/>
        <v>125996638.34</v>
      </c>
      <c r="N100" s="3">
        <f t="shared" si="27"/>
        <v>74699098.340000004</v>
      </c>
      <c r="O100" s="3">
        <f t="shared" si="27"/>
        <v>123599288.27</v>
      </c>
      <c r="P100" s="3">
        <f t="shared" si="27"/>
        <v>82357876.220000014</v>
      </c>
      <c r="Q100" s="3">
        <f t="shared" si="27"/>
        <v>128095881.20999998</v>
      </c>
      <c r="R100" s="3">
        <f t="shared" si="27"/>
        <v>74441297.569999993</v>
      </c>
      <c r="S100" s="3">
        <f t="shared" si="27"/>
        <v>136401625.49000001</v>
      </c>
      <c r="T100" s="3">
        <f t="shared" si="27"/>
        <v>74719949.890000001</v>
      </c>
      <c r="U100" s="3">
        <f t="shared" si="27"/>
        <v>136999081.71999997</v>
      </c>
      <c r="V100" s="3">
        <f t="shared" si="27"/>
        <v>74918061.669999987</v>
      </c>
      <c r="W100" s="3">
        <f t="shared" si="27"/>
        <v>143078032.53</v>
      </c>
      <c r="X100" s="3">
        <f t="shared" si="27"/>
        <v>71550048.36999999</v>
      </c>
      <c r="Y100" s="3">
        <f t="shared" si="27"/>
        <v>179105676.16999999</v>
      </c>
      <c r="Z100" s="3">
        <f t="shared" si="27"/>
        <v>116277638.82999998</v>
      </c>
      <c r="AA100" s="22">
        <f t="shared" si="27"/>
        <v>180677679.08000001</v>
      </c>
      <c r="AB100" s="22">
        <f>AB93+AB99</f>
        <v>43344897.469999999</v>
      </c>
      <c r="AC100" s="22">
        <f t="shared" ref="AC100:AP100" si="28">AC93+AC99</f>
        <v>249815793.58000001</v>
      </c>
      <c r="AD100" s="22">
        <f t="shared" si="28"/>
        <v>119975047.31999999</v>
      </c>
      <c r="AE100" s="3">
        <f t="shared" si="28"/>
        <v>225591888.64999998</v>
      </c>
      <c r="AF100" s="3">
        <f t="shared" si="28"/>
        <v>99495187.609999999</v>
      </c>
      <c r="AG100" s="3">
        <f t="shared" si="28"/>
        <v>86313931.799999982</v>
      </c>
      <c r="AH100" s="3">
        <f t="shared" si="28"/>
        <v>23141374.309999999</v>
      </c>
      <c r="AI100" s="22">
        <f t="shared" si="28"/>
        <v>130196217.90000001</v>
      </c>
      <c r="AJ100" s="22">
        <f t="shared" si="28"/>
        <v>32163242.649999999</v>
      </c>
      <c r="AK100" s="22">
        <f t="shared" si="28"/>
        <v>14429840.109999999</v>
      </c>
      <c r="AL100" s="22">
        <f t="shared" si="28"/>
        <v>0</v>
      </c>
      <c r="AM100" s="18">
        <f t="shared" si="28"/>
        <v>114267073.33000001</v>
      </c>
      <c r="AN100" s="18">
        <f t="shared" si="28"/>
        <v>31705722.439999998</v>
      </c>
      <c r="AO100" s="18">
        <f t="shared" si="28"/>
        <v>8916566.9699999988</v>
      </c>
      <c r="AP100" s="18">
        <f t="shared" si="28"/>
        <v>0</v>
      </c>
      <c r="AQ100" s="62">
        <f>AM100/AI100-1</f>
        <v>-0.12234721428109929</v>
      </c>
      <c r="AR100" s="62">
        <f>AO100/AK100-1</f>
        <v>-0.3820744442053281</v>
      </c>
    </row>
    <row r="101" spans="1:44" x14ac:dyDescent="0.25">
      <c r="A101" s="109" t="s">
        <v>22</v>
      </c>
      <c r="B101" s="13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x14ac:dyDescent="0.25">
      <c r="A102" s="109" t="s">
        <v>27</v>
      </c>
      <c r="B102" s="132"/>
      <c r="C102" s="4">
        <v>102575991</v>
      </c>
      <c r="D102" s="4">
        <v>63430848.460000001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x14ac:dyDescent="0.25">
      <c r="A103" s="109" t="s">
        <v>26</v>
      </c>
      <c r="B103" s="132"/>
      <c r="C103" s="4">
        <f>C100-C102</f>
        <v>11712510.819999993</v>
      </c>
      <c r="D103" s="4">
        <f>D100-D102</f>
        <v>4577922.2599999979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x14ac:dyDescent="0.25">
      <c r="A104" s="109" t="s">
        <v>40</v>
      </c>
      <c r="B104" s="13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1">
        <v>2369961.35</v>
      </c>
      <c r="AB104" s="21">
        <v>2369961.35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x14ac:dyDescent="0.25">
      <c r="AM105" s="48"/>
      <c r="AN105" s="48"/>
      <c r="AO105" s="48"/>
      <c r="AP105" s="48"/>
      <c r="AQ105" s="48"/>
      <c r="AR105" s="48"/>
    </row>
    <row r="106" spans="1:44" x14ac:dyDescent="0.25">
      <c r="AM106" s="48"/>
      <c r="AN106" s="48"/>
      <c r="AO106" s="48"/>
      <c r="AP106" s="48"/>
      <c r="AQ106" s="48"/>
      <c r="AR106" s="48"/>
    </row>
    <row r="107" spans="1:44" x14ac:dyDescent="0.25">
      <c r="AM107" s="48"/>
      <c r="AN107" s="48"/>
      <c r="AO107" s="48"/>
      <c r="AP107" s="48"/>
      <c r="AQ107" s="48"/>
      <c r="AR107" s="48"/>
    </row>
    <row r="108" spans="1:44" x14ac:dyDescent="0.25">
      <c r="AM108" s="48"/>
      <c r="AN108" s="48"/>
      <c r="AO108" s="48"/>
      <c r="AP108" s="48"/>
      <c r="AQ108" s="48"/>
      <c r="AR108" s="48"/>
    </row>
    <row r="109" spans="1:44" x14ac:dyDescent="0.25">
      <c r="AM109" s="48"/>
      <c r="AN109" s="48"/>
      <c r="AO109" s="48"/>
      <c r="AP109" s="48"/>
      <c r="AQ109" s="48"/>
      <c r="AR109" s="48"/>
    </row>
    <row r="110" spans="1:44" x14ac:dyDescent="0.25">
      <c r="AM110" s="48"/>
      <c r="AN110" s="48"/>
      <c r="AO110" s="48"/>
      <c r="AP110" s="48"/>
      <c r="AQ110" s="48"/>
      <c r="AR110" s="48"/>
    </row>
    <row r="111" spans="1:44" x14ac:dyDescent="0.25">
      <c r="AM111" s="48"/>
      <c r="AN111" s="48"/>
      <c r="AO111" s="48"/>
      <c r="AP111" s="48"/>
      <c r="AQ111" s="48"/>
      <c r="AR111" s="48"/>
    </row>
    <row r="112" spans="1:44" x14ac:dyDescent="0.25">
      <c r="AM112" s="48"/>
      <c r="AN112" s="48"/>
      <c r="AO112" s="48"/>
      <c r="AP112" s="48"/>
      <c r="AQ112" s="48"/>
      <c r="AR112" s="48"/>
    </row>
    <row r="113" spans="39:44" x14ac:dyDescent="0.25">
      <c r="AM113" s="48"/>
      <c r="AN113" s="48"/>
      <c r="AO113" s="48"/>
      <c r="AP113" s="48"/>
      <c r="AQ113" s="48"/>
      <c r="AR113" s="48"/>
    </row>
    <row r="114" spans="39:44" x14ac:dyDescent="0.25">
      <c r="AM114" s="48"/>
      <c r="AN114" s="48"/>
      <c r="AO114" s="48"/>
      <c r="AP114" s="48"/>
      <c r="AQ114" s="48"/>
      <c r="AR114" s="48"/>
    </row>
  </sheetData>
  <mergeCells count="470"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E5:AH6"/>
    <mergeCell ref="AI5:AL6"/>
    <mergeCell ref="AM5:AP6"/>
    <mergeCell ref="AQ5:AR6"/>
    <mergeCell ref="Y5:Z6"/>
    <mergeCell ref="AA5:AB6"/>
    <mergeCell ref="AC5:AD6"/>
    <mergeCell ref="A8:B9"/>
    <mergeCell ref="C8:C9"/>
    <mergeCell ref="D8:D9"/>
    <mergeCell ref="E8:E9"/>
    <mergeCell ref="F8:F9"/>
    <mergeCell ref="G8:G9"/>
    <mergeCell ref="S5:T6"/>
    <mergeCell ref="U5:V6"/>
    <mergeCell ref="W5:X6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A15:B15"/>
    <mergeCell ref="A16:B16"/>
    <mergeCell ref="A17:B17"/>
    <mergeCell ref="A18:B18"/>
    <mergeCell ref="A19:B19"/>
    <mergeCell ref="A20:B20"/>
    <mergeCell ref="AR8:AR9"/>
    <mergeCell ref="A10:B10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J8:AJ9"/>
    <mergeCell ref="AK8:AK9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AR33:AR34"/>
    <mergeCell ref="A35:B35"/>
    <mergeCell ref="A36:B36"/>
    <mergeCell ref="A37:B37"/>
    <mergeCell ref="A38:B38"/>
    <mergeCell ref="A39:B39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H40:H41"/>
    <mergeCell ref="I40:I41"/>
    <mergeCell ref="J40:J41"/>
    <mergeCell ref="K40:K41"/>
    <mergeCell ref="L40:L41"/>
    <mergeCell ref="M40:M41"/>
    <mergeCell ref="A40:B41"/>
    <mergeCell ref="C40:C41"/>
    <mergeCell ref="D40:D41"/>
    <mergeCell ref="E40:E41"/>
    <mergeCell ref="F40:F41"/>
    <mergeCell ref="G40:G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R40:AR41"/>
    <mergeCell ref="A42:B42"/>
    <mergeCell ref="A43:B43"/>
    <mergeCell ref="A44:B44"/>
    <mergeCell ref="A45:B45"/>
    <mergeCell ref="A46:B46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AR47:AR48"/>
    <mergeCell ref="A49:B49"/>
    <mergeCell ref="A50:B50"/>
    <mergeCell ref="A51:B51"/>
    <mergeCell ref="A52:B52"/>
    <mergeCell ref="A53:B53"/>
    <mergeCell ref="AL47:AL48"/>
    <mergeCell ref="AM47:AM48"/>
    <mergeCell ref="AN47:AN48"/>
    <mergeCell ref="AO47:AO48"/>
    <mergeCell ref="AP47:AP48"/>
    <mergeCell ref="AQ47:AQ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H54:H55"/>
    <mergeCell ref="I54:I55"/>
    <mergeCell ref="J54:J55"/>
    <mergeCell ref="K54:K55"/>
    <mergeCell ref="L54:L55"/>
    <mergeCell ref="M54:M55"/>
    <mergeCell ref="A54:B55"/>
    <mergeCell ref="C54:C55"/>
    <mergeCell ref="D54:D55"/>
    <mergeCell ref="E54:E55"/>
    <mergeCell ref="F54:F55"/>
    <mergeCell ref="G54:G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AR54:AR55"/>
    <mergeCell ref="A56:B56"/>
    <mergeCell ref="A57:B57"/>
    <mergeCell ref="A58:B58"/>
    <mergeCell ref="A59:B59"/>
    <mergeCell ref="A60:B60"/>
    <mergeCell ref="AL54:AL55"/>
    <mergeCell ref="AM54:AM55"/>
    <mergeCell ref="AN54:AN55"/>
    <mergeCell ref="AO54:AO55"/>
    <mergeCell ref="AP54:AP55"/>
    <mergeCell ref="AQ54:AQ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H61:H62"/>
    <mergeCell ref="I61:I62"/>
    <mergeCell ref="J61:J62"/>
    <mergeCell ref="K61:K62"/>
    <mergeCell ref="L61:L62"/>
    <mergeCell ref="M61:M62"/>
    <mergeCell ref="A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AR61:AR62"/>
    <mergeCell ref="A63:B63"/>
    <mergeCell ref="A64:B64"/>
    <mergeCell ref="A65:B65"/>
    <mergeCell ref="A66:B66"/>
    <mergeCell ref="A67:B67"/>
    <mergeCell ref="AL61:AL62"/>
    <mergeCell ref="AM61:AM62"/>
    <mergeCell ref="AN61:AN62"/>
    <mergeCell ref="AO61:AO62"/>
    <mergeCell ref="AP61:AP62"/>
    <mergeCell ref="AQ61:AQ62"/>
    <mergeCell ref="AF61:AF62"/>
    <mergeCell ref="AG61:AG62"/>
    <mergeCell ref="AH61:AH62"/>
    <mergeCell ref="AI61:AI62"/>
    <mergeCell ref="AJ61:AJ62"/>
    <mergeCell ref="AK61:AK62"/>
    <mergeCell ref="Z61:Z62"/>
    <mergeCell ref="AA61:AA62"/>
    <mergeCell ref="AB61:AB62"/>
    <mergeCell ref="AC61:AC62"/>
    <mergeCell ref="AD61:AD62"/>
    <mergeCell ref="AE61:AE62"/>
    <mergeCell ref="H68:H69"/>
    <mergeCell ref="I68:I69"/>
    <mergeCell ref="J68:J69"/>
    <mergeCell ref="K68:K69"/>
    <mergeCell ref="L68:L69"/>
    <mergeCell ref="M68:M69"/>
    <mergeCell ref="A68:B69"/>
    <mergeCell ref="C68:C69"/>
    <mergeCell ref="D68:D69"/>
    <mergeCell ref="E68:E69"/>
    <mergeCell ref="F68:F69"/>
    <mergeCell ref="G68:G69"/>
    <mergeCell ref="A73:B73"/>
    <mergeCell ref="A74:B74"/>
    <mergeCell ref="A75:B76"/>
    <mergeCell ref="C75:C76"/>
    <mergeCell ref="D75:D76"/>
    <mergeCell ref="E75:E76"/>
    <mergeCell ref="Z68:Z69"/>
    <mergeCell ref="AQ68:AQ69"/>
    <mergeCell ref="AR68:AR69"/>
    <mergeCell ref="A70:B70"/>
    <mergeCell ref="A71:B71"/>
    <mergeCell ref="A72:B72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L75:L76"/>
    <mergeCell ref="M75:M76"/>
    <mergeCell ref="N75:N76"/>
    <mergeCell ref="O75:O76"/>
    <mergeCell ref="P75:P76"/>
    <mergeCell ref="Q75:Q76"/>
    <mergeCell ref="F75:F76"/>
    <mergeCell ref="G75:G76"/>
    <mergeCell ref="H75:H76"/>
    <mergeCell ref="I75:I76"/>
    <mergeCell ref="J75:J76"/>
    <mergeCell ref="K75:K76"/>
    <mergeCell ref="X75:X76"/>
    <mergeCell ref="Y75:Y76"/>
    <mergeCell ref="Z75:Z76"/>
    <mergeCell ref="AA75:AA76"/>
    <mergeCell ref="AB75:AB76"/>
    <mergeCell ref="AC75:AC76"/>
    <mergeCell ref="R75:R76"/>
    <mergeCell ref="S75:S76"/>
    <mergeCell ref="T75:T76"/>
    <mergeCell ref="U75:U76"/>
    <mergeCell ref="V75:V76"/>
    <mergeCell ref="W75:W76"/>
    <mergeCell ref="A80:B80"/>
    <mergeCell ref="A81:B81"/>
    <mergeCell ref="A82:B83"/>
    <mergeCell ref="C82:C83"/>
    <mergeCell ref="D82:D83"/>
    <mergeCell ref="E82:E83"/>
    <mergeCell ref="AP75:AP76"/>
    <mergeCell ref="AQ75:AQ76"/>
    <mergeCell ref="AR75:AR76"/>
    <mergeCell ref="A77:B77"/>
    <mergeCell ref="A78:B78"/>
    <mergeCell ref="A79:B79"/>
    <mergeCell ref="AJ75:AJ76"/>
    <mergeCell ref="AK75:AK76"/>
    <mergeCell ref="AL75:AL76"/>
    <mergeCell ref="AM75:AM76"/>
    <mergeCell ref="AN75:AN76"/>
    <mergeCell ref="AO75:AO76"/>
    <mergeCell ref="AD75:AD76"/>
    <mergeCell ref="AE75:AE76"/>
    <mergeCell ref="AF75:AF76"/>
    <mergeCell ref="AG75:AG76"/>
    <mergeCell ref="AH75:AH76"/>
    <mergeCell ref="AI75:AI76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X82:X83"/>
    <mergeCell ref="Y82:Y83"/>
    <mergeCell ref="Z82:Z83"/>
    <mergeCell ref="AA82:AA83"/>
    <mergeCell ref="AB82:AB83"/>
    <mergeCell ref="AC82:AC83"/>
    <mergeCell ref="R82:R83"/>
    <mergeCell ref="S82:S83"/>
    <mergeCell ref="T82:T83"/>
    <mergeCell ref="U82:U83"/>
    <mergeCell ref="V82:V83"/>
    <mergeCell ref="W82:W83"/>
    <mergeCell ref="A87:B87"/>
    <mergeCell ref="A88:B88"/>
    <mergeCell ref="AQ89:AQ90"/>
    <mergeCell ref="AR89:AR90"/>
    <mergeCell ref="A90:B90"/>
    <mergeCell ref="A91:B91"/>
    <mergeCell ref="AP82:AP83"/>
    <mergeCell ref="AQ82:AQ83"/>
    <mergeCell ref="AR82:AR83"/>
    <mergeCell ref="A84:B84"/>
    <mergeCell ref="A85:B85"/>
    <mergeCell ref="A86:B86"/>
    <mergeCell ref="AJ82:AJ83"/>
    <mergeCell ref="AK82:AK83"/>
    <mergeCell ref="AL82:AL83"/>
    <mergeCell ref="AM82:AM83"/>
    <mergeCell ref="AN82:AN83"/>
    <mergeCell ref="AO82:AO83"/>
    <mergeCell ref="AD82:AD83"/>
    <mergeCell ref="AE82:AE83"/>
    <mergeCell ref="AF82:AF83"/>
    <mergeCell ref="AG82:AG83"/>
    <mergeCell ref="AH82:AH83"/>
    <mergeCell ref="AI82:AI83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114"/>
  <sheetViews>
    <sheetView workbookViewId="0">
      <selection sqref="A1:XFD1048576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38" width="14" customWidth="1"/>
    <col min="39" max="39" width="16" customWidth="1"/>
    <col min="40" max="42" width="14" customWidth="1"/>
    <col min="44" max="44" width="9.42578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43739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3018922.4899999998</v>
      </c>
      <c r="AN8" s="120">
        <f>AN10+AN11+AN12+AN13+AN14</f>
        <v>285712.18</v>
      </c>
      <c r="AO8" s="120">
        <v>0</v>
      </c>
      <c r="AP8" s="120">
        <v>0</v>
      </c>
      <c r="AQ8" s="116">
        <f>AM8/AI8-1</f>
        <v>-0.92868757217524434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v>513697.97</v>
      </c>
      <c r="AN10" s="19">
        <v>11367.33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v>1700671.43</v>
      </c>
      <c r="AN11" s="19">
        <v>181150.2</v>
      </c>
      <c r="AO11" s="19"/>
      <c r="AP11" s="19"/>
      <c r="AQ11" s="34"/>
      <c r="AR11" s="34"/>
    </row>
    <row r="12" spans="1:44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v>804553.09</v>
      </c>
      <c r="AN13" s="19">
        <v>93194.65</v>
      </c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36" t="s">
        <v>48</v>
      </c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1"/>
      <c r="AD15" s="51"/>
      <c r="AE15" s="50"/>
      <c r="AF15" s="50"/>
      <c r="AG15" s="50"/>
      <c r="AH15" s="50"/>
      <c r="AI15" s="51"/>
      <c r="AJ15" s="51"/>
      <c r="AK15" s="51"/>
      <c r="AL15" s="51"/>
      <c r="AM15" s="59">
        <f>AM16+AM17+AM18+AM19+AM20</f>
        <v>34621358.450000003</v>
      </c>
      <c r="AN15" s="59">
        <f>AN16+AN17+AN18+AN19+AN20</f>
        <v>4648569.9800000004</v>
      </c>
      <c r="AO15" s="59">
        <f t="shared" ref="AO15:AP15" si="1">AO16+AO17+AO18+AO19+AO20</f>
        <v>0</v>
      </c>
      <c r="AP15" s="59">
        <f t="shared" si="1"/>
        <v>0</v>
      </c>
      <c r="AQ15" s="55"/>
      <c r="AR15" s="55"/>
    </row>
    <row r="16" spans="1:44" x14ac:dyDescent="0.25">
      <c r="A16" s="109" t="s">
        <v>11</v>
      </c>
      <c r="B16" s="11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1"/>
      <c r="AD16" s="51"/>
      <c r="AE16" s="50"/>
      <c r="AF16" s="50"/>
      <c r="AG16" s="50"/>
      <c r="AH16" s="50"/>
      <c r="AI16" s="51"/>
      <c r="AJ16" s="51"/>
      <c r="AK16" s="51"/>
      <c r="AL16" s="51"/>
      <c r="AM16" s="51">
        <f>32750431.25+245779.97</f>
        <v>32996211.219999999</v>
      </c>
      <c r="AN16" s="51">
        <v>4648569.9800000004</v>
      </c>
      <c r="AO16" s="51"/>
      <c r="AP16" s="51"/>
      <c r="AQ16" s="55"/>
      <c r="AR16" s="55"/>
    </row>
    <row r="17" spans="1:44" x14ac:dyDescent="0.25">
      <c r="A17" s="109" t="s">
        <v>8</v>
      </c>
      <c r="B17" s="11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1"/>
      <c r="AD17" s="51"/>
      <c r="AE17" s="50"/>
      <c r="AF17" s="50"/>
      <c r="AG17" s="50"/>
      <c r="AH17" s="50"/>
      <c r="AI17" s="51"/>
      <c r="AJ17" s="51"/>
      <c r="AK17" s="51"/>
      <c r="AL17" s="51"/>
      <c r="AM17" s="51">
        <v>1131629.27</v>
      </c>
      <c r="AN17" s="51"/>
      <c r="AO17" s="51"/>
      <c r="AP17" s="51"/>
      <c r="AQ17" s="55"/>
      <c r="AR17" s="55"/>
    </row>
    <row r="18" spans="1:44" x14ac:dyDescent="0.25">
      <c r="A18" s="109" t="s">
        <v>9</v>
      </c>
      <c r="B18" s="11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1"/>
      <c r="AD18" s="51"/>
      <c r="AE18" s="50"/>
      <c r="AF18" s="50"/>
      <c r="AG18" s="50"/>
      <c r="AH18" s="50"/>
      <c r="AI18" s="51"/>
      <c r="AJ18" s="51"/>
      <c r="AK18" s="51"/>
      <c r="AL18" s="51"/>
      <c r="AM18" s="51"/>
      <c r="AN18" s="51"/>
      <c r="AO18" s="51"/>
      <c r="AP18" s="51"/>
      <c r="AQ18" s="55"/>
      <c r="AR18" s="55"/>
    </row>
    <row r="19" spans="1:44" x14ac:dyDescent="0.25">
      <c r="A19" s="109" t="s">
        <v>10</v>
      </c>
      <c r="B19" s="11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1"/>
      <c r="AD19" s="51"/>
      <c r="AE19" s="50"/>
      <c r="AF19" s="50"/>
      <c r="AG19" s="50"/>
      <c r="AH19" s="50"/>
      <c r="AI19" s="51"/>
      <c r="AJ19" s="51"/>
      <c r="AK19" s="51"/>
      <c r="AL19" s="51"/>
      <c r="AM19" s="51">
        <v>493517.96</v>
      </c>
      <c r="AN19" s="51"/>
      <c r="AO19" s="51"/>
      <c r="AP19" s="51"/>
      <c r="AQ19" s="55"/>
      <c r="AR19" s="55"/>
    </row>
    <row r="20" spans="1:44" x14ac:dyDescent="0.25">
      <c r="A20" s="109" t="s">
        <v>16</v>
      </c>
      <c r="B20" s="1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1"/>
      <c r="AD20" s="51"/>
      <c r="AE20" s="50"/>
      <c r="AF20" s="50"/>
      <c r="AG20" s="50"/>
      <c r="AH20" s="50"/>
      <c r="AI20" s="51"/>
      <c r="AJ20" s="51"/>
      <c r="AK20" s="51"/>
      <c r="AL20" s="51"/>
      <c r="AM20" s="51"/>
      <c r="AN20" s="51"/>
      <c r="AO20" s="51"/>
      <c r="AP20" s="51"/>
      <c r="AQ20" s="55"/>
      <c r="AR20" s="55"/>
    </row>
    <row r="21" spans="1:44" x14ac:dyDescent="0.25">
      <c r="A21" s="136" t="s">
        <v>49</v>
      </c>
      <c r="B21" s="13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1"/>
      <c r="AD21" s="51"/>
      <c r="AE21" s="50"/>
      <c r="AF21" s="50"/>
      <c r="AG21" s="50"/>
      <c r="AH21" s="50"/>
      <c r="AI21" s="51"/>
      <c r="AJ21" s="51"/>
      <c r="AK21" s="51"/>
      <c r="AL21" s="51"/>
      <c r="AM21" s="59">
        <f>AM22+AM23+AM24+AM25+AM26</f>
        <v>4104142.84</v>
      </c>
      <c r="AN21" s="59">
        <f t="shared" ref="AN21:AP21" si="2">AN22+AN23+AN24+AN25+AN26</f>
        <v>0</v>
      </c>
      <c r="AO21" s="59">
        <v>0</v>
      </c>
      <c r="AP21" s="59">
        <f t="shared" si="2"/>
        <v>0</v>
      </c>
      <c r="AQ21" s="55"/>
      <c r="AR21" s="55"/>
    </row>
    <row r="22" spans="1:44" x14ac:dyDescent="0.25">
      <c r="A22" s="109" t="s">
        <v>11</v>
      </c>
      <c r="B22" s="11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1"/>
      <c r="AD22" s="51"/>
      <c r="AE22" s="50"/>
      <c r="AF22" s="50"/>
      <c r="AG22" s="50"/>
      <c r="AH22" s="50"/>
      <c r="AI22" s="51"/>
      <c r="AJ22" s="51"/>
      <c r="AK22" s="51"/>
      <c r="AL22" s="51"/>
      <c r="AM22" s="51">
        <f>3795970.28+24958.83</f>
        <v>3820929.11</v>
      </c>
      <c r="AN22" s="51"/>
      <c r="AO22" s="51">
        <v>0</v>
      </c>
      <c r="AP22" s="51"/>
      <c r="AQ22" s="55"/>
      <c r="AR22" s="55"/>
    </row>
    <row r="23" spans="1:44" x14ac:dyDescent="0.25">
      <c r="A23" s="109" t="s">
        <v>8</v>
      </c>
      <c r="B23" s="11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1"/>
      <c r="AD23" s="51"/>
      <c r="AE23" s="50"/>
      <c r="AF23" s="50"/>
      <c r="AG23" s="50"/>
      <c r="AH23" s="50"/>
      <c r="AI23" s="51"/>
      <c r="AJ23" s="51"/>
      <c r="AK23" s="51"/>
      <c r="AL23" s="51"/>
      <c r="AM23" s="51">
        <v>236195.17</v>
      </c>
      <c r="AN23" s="51"/>
      <c r="AO23" s="51"/>
      <c r="AP23" s="51"/>
      <c r="AQ23" s="55"/>
      <c r="AR23" s="55"/>
    </row>
    <row r="24" spans="1:44" x14ac:dyDescent="0.25">
      <c r="A24" s="109" t="s">
        <v>9</v>
      </c>
      <c r="B24" s="11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1"/>
      <c r="AD24" s="51"/>
      <c r="AE24" s="50"/>
      <c r="AF24" s="50"/>
      <c r="AG24" s="50"/>
      <c r="AH24" s="50"/>
      <c r="AI24" s="51"/>
      <c r="AJ24" s="51"/>
      <c r="AK24" s="51"/>
      <c r="AL24" s="51"/>
      <c r="AM24" s="51"/>
      <c r="AN24" s="51"/>
      <c r="AO24" s="51"/>
      <c r="AP24" s="51"/>
      <c r="AQ24" s="55"/>
      <c r="AR24" s="55"/>
    </row>
    <row r="25" spans="1:44" x14ac:dyDescent="0.25">
      <c r="A25" s="109" t="s">
        <v>10</v>
      </c>
      <c r="B25" s="1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1"/>
      <c r="AD25" s="51"/>
      <c r="AE25" s="50"/>
      <c r="AF25" s="50"/>
      <c r="AG25" s="50"/>
      <c r="AH25" s="50"/>
      <c r="AI25" s="51"/>
      <c r="AJ25" s="51"/>
      <c r="AK25" s="51"/>
      <c r="AL25" s="51"/>
      <c r="AM25" s="51">
        <v>47018.559999999998</v>
      </c>
      <c r="AN25" s="51"/>
      <c r="AO25" s="51"/>
      <c r="AP25" s="51"/>
      <c r="AQ25" s="55"/>
      <c r="AR25" s="55"/>
    </row>
    <row r="26" spans="1:44" x14ac:dyDescent="0.25">
      <c r="A26" s="109" t="s">
        <v>16</v>
      </c>
      <c r="B26" s="1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1"/>
      <c r="AD26" s="51"/>
      <c r="AE26" s="50"/>
      <c r="AF26" s="50"/>
      <c r="AG26" s="50"/>
      <c r="AH26" s="50"/>
      <c r="AI26" s="51"/>
      <c r="AJ26" s="51"/>
      <c r="AK26" s="51"/>
      <c r="AL26" s="51"/>
      <c r="AM26" s="51"/>
      <c r="AN26" s="51"/>
      <c r="AO26" s="51"/>
      <c r="AP26" s="51"/>
      <c r="AQ26" s="55"/>
      <c r="AR26" s="55"/>
    </row>
    <row r="27" spans="1:44" x14ac:dyDescent="0.25">
      <c r="A27" s="136" t="s">
        <v>50</v>
      </c>
      <c r="B27" s="1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1"/>
      <c r="AD27" s="51"/>
      <c r="AE27" s="50"/>
      <c r="AF27" s="50"/>
      <c r="AG27" s="50"/>
      <c r="AH27" s="50"/>
      <c r="AI27" s="51"/>
      <c r="AJ27" s="51"/>
      <c r="AK27" s="51"/>
      <c r="AL27" s="51"/>
      <c r="AM27" s="59">
        <f>AM28+AM29+AM30+AM31+AM32</f>
        <v>378437.57</v>
      </c>
      <c r="AN27" s="59">
        <f t="shared" ref="AN27:AP27" si="3">AN28+AN29+AN30+AN31+AN32</f>
        <v>0</v>
      </c>
      <c r="AO27" s="59">
        <f t="shared" si="3"/>
        <v>0</v>
      </c>
      <c r="AP27" s="59">
        <f t="shared" si="3"/>
        <v>0</v>
      </c>
      <c r="AQ27" s="55"/>
      <c r="AR27" s="55"/>
    </row>
    <row r="28" spans="1:44" x14ac:dyDescent="0.25">
      <c r="A28" s="109" t="s">
        <v>11</v>
      </c>
      <c r="B28" s="1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1"/>
      <c r="AD28" s="51"/>
      <c r="AE28" s="50"/>
      <c r="AF28" s="50"/>
      <c r="AG28" s="50"/>
      <c r="AH28" s="50"/>
      <c r="AI28" s="51"/>
      <c r="AJ28" s="51"/>
      <c r="AK28" s="51"/>
      <c r="AL28" s="51"/>
      <c r="AM28" s="51">
        <v>9901.25</v>
      </c>
      <c r="AN28" s="51"/>
      <c r="AO28" s="51"/>
      <c r="AP28" s="51"/>
      <c r="AQ28" s="55"/>
      <c r="AR28" s="55"/>
    </row>
    <row r="29" spans="1:44" x14ac:dyDescent="0.25">
      <c r="A29" s="109" t="s">
        <v>8</v>
      </c>
      <c r="B29" s="1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1"/>
      <c r="AD29" s="51"/>
      <c r="AE29" s="50"/>
      <c r="AF29" s="50"/>
      <c r="AG29" s="50"/>
      <c r="AH29" s="50"/>
      <c r="AI29" s="51"/>
      <c r="AJ29" s="51"/>
      <c r="AK29" s="51"/>
      <c r="AL29" s="51"/>
      <c r="AM29" s="51">
        <v>249483.57</v>
      </c>
      <c r="AN29" s="51"/>
      <c r="AO29" s="51"/>
      <c r="AP29" s="51"/>
      <c r="AQ29" s="55"/>
      <c r="AR29" s="55"/>
    </row>
    <row r="30" spans="1:44" x14ac:dyDescent="0.25">
      <c r="A30" s="109" t="s">
        <v>9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1"/>
      <c r="AD30" s="51"/>
      <c r="AE30" s="50"/>
      <c r="AF30" s="50"/>
      <c r="AG30" s="50"/>
      <c r="AH30" s="50"/>
      <c r="AI30" s="51"/>
      <c r="AJ30" s="51"/>
      <c r="AK30" s="51"/>
      <c r="AL30" s="51"/>
      <c r="AM30" s="51"/>
      <c r="AN30" s="51"/>
      <c r="AO30" s="51"/>
      <c r="AP30" s="51"/>
      <c r="AQ30" s="55"/>
      <c r="AR30" s="55"/>
    </row>
    <row r="31" spans="1:44" x14ac:dyDescent="0.25">
      <c r="A31" s="109" t="s">
        <v>10</v>
      </c>
      <c r="B31" s="110"/>
      <c r="C31" s="5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1"/>
      <c r="AD31" s="51"/>
      <c r="AE31" s="50"/>
      <c r="AF31" s="50"/>
      <c r="AG31" s="50"/>
      <c r="AH31" s="50"/>
      <c r="AI31" s="51"/>
      <c r="AJ31" s="51"/>
      <c r="AK31" s="51"/>
      <c r="AL31" s="51"/>
      <c r="AM31" s="51">
        <v>119052.75</v>
      </c>
      <c r="AN31" s="51"/>
      <c r="AO31" s="51"/>
      <c r="AP31" s="51"/>
      <c r="AQ31" s="55"/>
      <c r="AR31" s="55"/>
    </row>
    <row r="32" spans="1:44" x14ac:dyDescent="0.25">
      <c r="A32" s="109" t="s">
        <v>16</v>
      </c>
      <c r="B32" s="11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1"/>
      <c r="AD32" s="51"/>
      <c r="AE32" s="50"/>
      <c r="AF32" s="50"/>
      <c r="AG32" s="50"/>
      <c r="AH32" s="50"/>
      <c r="AI32" s="51"/>
      <c r="AJ32" s="51"/>
      <c r="AK32" s="51"/>
      <c r="AL32" s="51"/>
      <c r="AM32" s="50"/>
      <c r="AN32" s="50"/>
      <c r="AO32" s="50"/>
      <c r="AP32" s="50"/>
      <c r="AQ32" s="64"/>
      <c r="AR32" s="64"/>
    </row>
    <row r="33" spans="1:47" x14ac:dyDescent="0.25">
      <c r="A33" s="111" t="s">
        <v>1</v>
      </c>
      <c r="B33" s="112"/>
      <c r="C33" s="115">
        <f>SUM(C35:C39)</f>
        <v>0</v>
      </c>
      <c r="D33" s="115">
        <f>SUM(D35:D39)</f>
        <v>0</v>
      </c>
      <c r="E33" s="115">
        <f t="shared" ref="E33:AD33" si="4">SUM(E35:E39)</f>
        <v>35747.5</v>
      </c>
      <c r="F33" s="115">
        <f t="shared" si="4"/>
        <v>0</v>
      </c>
      <c r="G33" s="115">
        <f t="shared" si="4"/>
        <v>0</v>
      </c>
      <c r="H33" s="115">
        <f t="shared" si="4"/>
        <v>0</v>
      </c>
      <c r="I33" s="115">
        <f t="shared" si="4"/>
        <v>0</v>
      </c>
      <c r="J33" s="115">
        <f t="shared" si="4"/>
        <v>0</v>
      </c>
      <c r="K33" s="115">
        <f t="shared" si="4"/>
        <v>120756.41</v>
      </c>
      <c r="L33" s="115">
        <f t="shared" si="4"/>
        <v>0</v>
      </c>
      <c r="M33" s="115">
        <f t="shared" si="4"/>
        <v>144077.24</v>
      </c>
      <c r="N33" s="115">
        <f t="shared" si="4"/>
        <v>0</v>
      </c>
      <c r="O33" s="115">
        <f t="shared" si="4"/>
        <v>122267.09</v>
      </c>
      <c r="P33" s="115">
        <f t="shared" si="4"/>
        <v>0</v>
      </c>
      <c r="Q33" s="115">
        <f t="shared" si="4"/>
        <v>81760.240000000005</v>
      </c>
      <c r="R33" s="115">
        <f t="shared" si="4"/>
        <v>0</v>
      </c>
      <c r="S33" s="115">
        <f t="shared" si="4"/>
        <v>68067.33</v>
      </c>
      <c r="T33" s="115">
        <f t="shared" si="4"/>
        <v>0</v>
      </c>
      <c r="U33" s="115">
        <f t="shared" si="4"/>
        <v>61711.68</v>
      </c>
      <c r="V33" s="115">
        <f t="shared" si="4"/>
        <v>0</v>
      </c>
      <c r="W33" s="115">
        <f t="shared" si="4"/>
        <v>0</v>
      </c>
      <c r="X33" s="115">
        <f t="shared" si="4"/>
        <v>0</v>
      </c>
      <c r="Y33" s="115">
        <f t="shared" si="4"/>
        <v>217.78</v>
      </c>
      <c r="Z33" s="115">
        <f t="shared" si="4"/>
        <v>0</v>
      </c>
      <c r="AA33" s="128">
        <f t="shared" si="4"/>
        <v>187710.37</v>
      </c>
      <c r="AB33" s="128">
        <f t="shared" si="4"/>
        <v>0</v>
      </c>
      <c r="AC33" s="128">
        <f t="shared" si="4"/>
        <v>333233.98</v>
      </c>
      <c r="AD33" s="128">
        <f t="shared" si="4"/>
        <v>0</v>
      </c>
      <c r="AE33" s="126">
        <f t="shared" ref="AE33:AL33" si="5">AE35+AE36+AE37+AE38+AE39</f>
        <v>667959.52</v>
      </c>
      <c r="AF33" s="126">
        <f t="shared" si="5"/>
        <v>0</v>
      </c>
      <c r="AG33" s="126">
        <f t="shared" si="5"/>
        <v>94034.71</v>
      </c>
      <c r="AH33" s="126">
        <f t="shared" si="5"/>
        <v>0</v>
      </c>
      <c r="AI33" s="122">
        <f t="shared" si="5"/>
        <v>797761.55</v>
      </c>
      <c r="AJ33" s="122">
        <f t="shared" si="5"/>
        <v>0</v>
      </c>
      <c r="AK33" s="122">
        <v>0</v>
      </c>
      <c r="AL33" s="122">
        <f t="shared" si="5"/>
        <v>0</v>
      </c>
      <c r="AM33" s="122">
        <f>AM35+AM36+AM37+AM38+AM39</f>
        <v>563917.38</v>
      </c>
      <c r="AN33" s="122">
        <f>AN35+AN36+AN37+AN38+AN39</f>
        <v>0</v>
      </c>
      <c r="AO33" s="122">
        <f>AO35+AO36+AO37+AO38+AO39</f>
        <v>0</v>
      </c>
      <c r="AP33" s="122">
        <f>AP35+AP36+AP37+AP38+AP39</f>
        <v>0</v>
      </c>
      <c r="AQ33" s="116">
        <f>AM33/AI33-1</f>
        <v>-0.29312539567744278</v>
      </c>
      <c r="AR33" s="116" t="e">
        <f>AO33/AK33-1</f>
        <v>#DIV/0!</v>
      </c>
    </row>
    <row r="34" spans="1:47" x14ac:dyDescent="0.25">
      <c r="A34" s="113"/>
      <c r="B34" s="114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5"/>
      <c r="AB34" s="125"/>
      <c r="AC34" s="125"/>
      <c r="AD34" s="125"/>
      <c r="AE34" s="127"/>
      <c r="AF34" s="127"/>
      <c r="AG34" s="127"/>
      <c r="AH34" s="127"/>
      <c r="AI34" s="123"/>
      <c r="AJ34" s="123"/>
      <c r="AK34" s="123"/>
      <c r="AL34" s="123"/>
      <c r="AM34" s="123"/>
      <c r="AN34" s="123"/>
      <c r="AO34" s="123"/>
      <c r="AP34" s="123"/>
      <c r="AQ34" s="117"/>
      <c r="AR34" s="117"/>
    </row>
    <row r="35" spans="1:47" ht="45.75" customHeight="1" x14ac:dyDescent="0.25">
      <c r="A35" s="109" t="s">
        <v>11</v>
      </c>
      <c r="B35" s="110"/>
      <c r="C35" s="2"/>
      <c r="D35" s="2"/>
      <c r="E35" s="2">
        <v>35747.5</v>
      </c>
      <c r="F35" s="2"/>
      <c r="G35" s="2"/>
      <c r="H35" s="2"/>
      <c r="I35" s="2"/>
      <c r="J35" s="2"/>
      <c r="K35" s="2">
        <v>120756.41</v>
      </c>
      <c r="L35" s="2"/>
      <c r="M35" s="2">
        <v>144077.24</v>
      </c>
      <c r="N35" s="2"/>
      <c r="O35" s="2">
        <v>122267.09</v>
      </c>
      <c r="P35" s="2"/>
      <c r="Q35" s="2">
        <v>67770.240000000005</v>
      </c>
      <c r="R35" s="2"/>
      <c r="S35" s="2">
        <f>65281.19+2786.14</f>
        <v>68067.33</v>
      </c>
      <c r="T35" s="2"/>
      <c r="U35" s="2">
        <v>61711.68</v>
      </c>
      <c r="V35" s="2"/>
      <c r="W35" s="2"/>
      <c r="X35" s="2"/>
      <c r="Y35" s="2">
        <v>217.78</v>
      </c>
      <c r="Z35" s="2"/>
      <c r="AA35" s="16">
        <v>35</v>
      </c>
      <c r="AB35" s="16"/>
      <c r="AC35" s="16">
        <f>27611.35+117602.07</f>
        <v>145213.42000000001</v>
      </c>
      <c r="AD35" s="13"/>
      <c r="AE35" s="23">
        <f>56332.86+251324.18</f>
        <v>307657.03999999998</v>
      </c>
      <c r="AF35" s="13"/>
      <c r="AG35" s="23">
        <f>3600+90434.71</f>
        <v>94034.71</v>
      </c>
      <c r="AH35" s="23"/>
      <c r="AI35" s="16">
        <f>30567.15+190377.23</f>
        <v>220944.38</v>
      </c>
      <c r="AJ35" s="16"/>
      <c r="AK35" s="16"/>
      <c r="AL35" s="16"/>
      <c r="AM35" s="16">
        <f>29206.99+152040.31</f>
        <v>181247.3</v>
      </c>
      <c r="AN35" s="16"/>
      <c r="AO35" s="16"/>
      <c r="AP35" s="16"/>
      <c r="AQ35" s="24"/>
      <c r="AR35" s="24"/>
    </row>
    <row r="36" spans="1:47" ht="15.75" customHeight="1" x14ac:dyDescent="0.25">
      <c r="A36" s="109" t="s">
        <v>8</v>
      </c>
      <c r="B36" s="1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>
        <v>172262.37</v>
      </c>
      <c r="AB36" s="16"/>
      <c r="AC36" s="16">
        <v>188020.56</v>
      </c>
      <c r="AD36" s="13"/>
      <c r="AE36" s="23">
        <v>225161</v>
      </c>
      <c r="AF36" s="13"/>
      <c r="AG36" s="13"/>
      <c r="AH36" s="13"/>
      <c r="AI36" s="16">
        <v>372715</v>
      </c>
      <c r="AJ36" s="16"/>
      <c r="AK36" s="16"/>
      <c r="AL36" s="16"/>
      <c r="AM36" s="16">
        <v>248902.89</v>
      </c>
      <c r="AN36" s="16"/>
      <c r="AO36" s="16"/>
      <c r="AP36" s="16"/>
      <c r="AQ36" s="24"/>
      <c r="AR36" s="24"/>
    </row>
    <row r="37" spans="1:47" ht="28.5" customHeight="1" x14ac:dyDescent="0.25">
      <c r="A37" s="109" t="s">
        <v>9</v>
      </c>
      <c r="B37" s="1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3"/>
      <c r="AD37" s="13"/>
      <c r="AE37" s="23"/>
      <c r="AF37" s="13"/>
      <c r="AG37" s="13"/>
      <c r="AH37" s="13"/>
      <c r="AI37" s="16"/>
      <c r="AJ37" s="16"/>
      <c r="AK37" s="16"/>
      <c r="AL37" s="16"/>
      <c r="AM37" s="16"/>
      <c r="AN37" s="16"/>
      <c r="AO37" s="16"/>
      <c r="AP37" s="16"/>
      <c r="AQ37" s="24"/>
      <c r="AR37" s="24"/>
    </row>
    <row r="38" spans="1:47" ht="18" customHeight="1" x14ac:dyDescent="0.25">
      <c r="A38" s="109" t="s">
        <v>10</v>
      </c>
      <c r="B38" s="1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13990</v>
      </c>
      <c r="R38" s="2"/>
      <c r="S38" s="2"/>
      <c r="T38" s="2"/>
      <c r="U38" s="2"/>
      <c r="V38" s="2"/>
      <c r="W38" s="2"/>
      <c r="X38" s="2"/>
      <c r="Y38" s="2"/>
      <c r="Z38" s="2"/>
      <c r="AA38" s="16">
        <v>15413</v>
      </c>
      <c r="AB38" s="16"/>
      <c r="AC38" s="13"/>
      <c r="AD38" s="13"/>
      <c r="AE38" s="23">
        <v>135141.48000000001</v>
      </c>
      <c r="AF38" s="13"/>
      <c r="AG38" s="13"/>
      <c r="AH38" s="13"/>
      <c r="AI38" s="16">
        <v>204102.17</v>
      </c>
      <c r="AJ38" s="16"/>
      <c r="AK38" s="16"/>
      <c r="AL38" s="16"/>
      <c r="AM38" s="16">
        <v>132457.70000000001</v>
      </c>
      <c r="AN38" s="16"/>
      <c r="AO38" s="16"/>
      <c r="AP38" s="16"/>
      <c r="AQ38" s="24"/>
      <c r="AR38" s="24"/>
    </row>
    <row r="39" spans="1:47" ht="30.75" customHeight="1" x14ac:dyDescent="0.25">
      <c r="A39" s="109" t="s">
        <v>16</v>
      </c>
      <c r="B39" s="1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3"/>
      <c r="AD39" s="13"/>
      <c r="AE39" s="13"/>
      <c r="AF39" s="13"/>
      <c r="AG39" s="13"/>
      <c r="AH39" s="13"/>
      <c r="AI39" s="16"/>
      <c r="AJ39" s="16"/>
      <c r="AK39" s="16"/>
      <c r="AL39" s="16"/>
      <c r="AM39" s="16">
        <v>1309.49</v>
      </c>
      <c r="AN39" s="16"/>
      <c r="AO39" s="16"/>
      <c r="AP39" s="16"/>
      <c r="AQ39" s="24"/>
      <c r="AR39" s="24"/>
    </row>
    <row r="40" spans="1:47" x14ac:dyDescent="0.25">
      <c r="A40" s="111" t="s">
        <v>2</v>
      </c>
      <c r="B40" s="112"/>
      <c r="C40" s="115">
        <v>54846675.530000001</v>
      </c>
      <c r="D40" s="115">
        <v>48940486.590000004</v>
      </c>
      <c r="E40" s="115">
        <f>SUM(E42:E46)</f>
        <v>64656891.350000001</v>
      </c>
      <c r="F40" s="115">
        <f>SUM(F42:F46)</f>
        <v>51440732.669999994</v>
      </c>
      <c r="G40" s="115">
        <f t="shared" ref="G40:AD40" si="6">SUM(G42:G46)</f>
        <v>69207433.140000001</v>
      </c>
      <c r="H40" s="115">
        <f t="shared" si="6"/>
        <v>50454846.649999999</v>
      </c>
      <c r="I40" s="115">
        <f t="shared" si="6"/>
        <v>70742852.230000004</v>
      </c>
      <c r="J40" s="115">
        <f t="shared" si="6"/>
        <v>55024116.890000001</v>
      </c>
      <c r="K40" s="115">
        <f t="shared" si="6"/>
        <v>70605066.099999994</v>
      </c>
      <c r="L40" s="115">
        <f t="shared" si="6"/>
        <v>57943952.730000004</v>
      </c>
      <c r="M40" s="115">
        <f t="shared" si="6"/>
        <v>73371785.549999997</v>
      </c>
      <c r="N40" s="115">
        <f t="shared" si="6"/>
        <v>57519633.82</v>
      </c>
      <c r="O40" s="115">
        <f t="shared" si="6"/>
        <v>69857012.25</v>
      </c>
      <c r="P40" s="115">
        <f t="shared" si="6"/>
        <v>65548817.789999999</v>
      </c>
      <c r="Q40" s="115">
        <f t="shared" si="6"/>
        <v>71509757.569999993</v>
      </c>
      <c r="R40" s="115">
        <f t="shared" si="6"/>
        <v>57862859.439999998</v>
      </c>
      <c r="S40" s="115">
        <f t="shared" si="6"/>
        <v>71486946.959999993</v>
      </c>
      <c r="T40" s="115">
        <f t="shared" si="6"/>
        <v>57789918.439999998</v>
      </c>
      <c r="U40" s="115">
        <f t="shared" si="6"/>
        <v>70592079.479999989</v>
      </c>
      <c r="V40" s="115">
        <f t="shared" si="6"/>
        <v>61579945.239999995</v>
      </c>
      <c r="W40" s="115">
        <f t="shared" si="6"/>
        <v>66866461.460000001</v>
      </c>
      <c r="X40" s="115">
        <f t="shared" si="6"/>
        <v>57735277.960000001</v>
      </c>
      <c r="Y40" s="115">
        <f t="shared" si="6"/>
        <v>103038065.23999999</v>
      </c>
      <c r="Z40" s="115">
        <f t="shared" si="6"/>
        <v>90836160.789999992</v>
      </c>
      <c r="AA40" s="128">
        <f t="shared" si="6"/>
        <v>56387437.119999997</v>
      </c>
      <c r="AB40" s="128">
        <f t="shared" si="6"/>
        <v>15533763.189999999</v>
      </c>
      <c r="AC40" s="128">
        <f t="shared" si="6"/>
        <v>119943838.53</v>
      </c>
      <c r="AD40" s="128">
        <f t="shared" si="6"/>
        <v>72448338.349999994</v>
      </c>
      <c r="AE40" s="126">
        <f t="shared" ref="AE40:AL40" si="7">AE42+AE43+AE44+AE45+AE46</f>
        <v>98597337.969999999</v>
      </c>
      <c r="AF40" s="126">
        <f t="shared" si="7"/>
        <v>28249113.57</v>
      </c>
      <c r="AG40" s="126">
        <f t="shared" si="7"/>
        <v>52538002.529999994</v>
      </c>
      <c r="AH40" s="126">
        <f t="shared" si="7"/>
        <v>0</v>
      </c>
      <c r="AI40" s="122">
        <f t="shared" si="7"/>
        <v>63217359.389999993</v>
      </c>
      <c r="AJ40" s="122">
        <f t="shared" si="7"/>
        <v>27862807.449999999</v>
      </c>
      <c r="AK40" s="122">
        <f t="shared" si="7"/>
        <v>9411597.2899999991</v>
      </c>
      <c r="AL40" s="122">
        <f t="shared" si="7"/>
        <v>0</v>
      </c>
      <c r="AM40" s="122">
        <f>AM42+AM43+AM44+AM45+AM46</f>
        <v>38637986.910000004</v>
      </c>
      <c r="AN40" s="122">
        <f>AN42+AN43+AN44+AN45+AN46</f>
        <v>19772355.359999999</v>
      </c>
      <c r="AO40" s="122">
        <f>AO42+AO43+AO44+AO45+AO46</f>
        <v>652227.81000000006</v>
      </c>
      <c r="AP40" s="122">
        <f>AP42+AP43+AP44+AP45+AP46</f>
        <v>0</v>
      </c>
      <c r="AQ40" s="116">
        <f>AM40/AI40-1</f>
        <v>-0.38880732629727754</v>
      </c>
      <c r="AR40" s="116">
        <f>AO40/AK40-1</f>
        <v>-0.93069956247564856</v>
      </c>
    </row>
    <row r="41" spans="1:47" ht="12" customHeight="1" x14ac:dyDescent="0.25">
      <c r="A41" s="113"/>
      <c r="B41" s="114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25"/>
      <c r="AB41" s="125"/>
      <c r="AC41" s="125"/>
      <c r="AD41" s="125"/>
      <c r="AE41" s="127"/>
      <c r="AF41" s="127"/>
      <c r="AG41" s="127"/>
      <c r="AH41" s="127"/>
      <c r="AI41" s="123"/>
      <c r="AJ41" s="123"/>
      <c r="AK41" s="123"/>
      <c r="AL41" s="123"/>
      <c r="AM41" s="123"/>
      <c r="AN41" s="123"/>
      <c r="AO41" s="123"/>
      <c r="AP41" s="123"/>
      <c r="AQ41" s="117"/>
      <c r="AR41" s="117"/>
    </row>
    <row r="42" spans="1:47" ht="43.5" customHeight="1" x14ac:dyDescent="0.25">
      <c r="A42" s="109" t="s">
        <v>11</v>
      </c>
      <c r="B42" s="110"/>
      <c r="C42" s="2"/>
      <c r="D42" s="2"/>
      <c r="E42" s="2">
        <v>10110055.9</v>
      </c>
      <c r="F42" s="2">
        <f>51442088.62-49312861.59</f>
        <v>2129227.0299999937</v>
      </c>
      <c r="G42" s="2">
        <v>10146692.35</v>
      </c>
      <c r="H42" s="2">
        <v>2129227.0299999998</v>
      </c>
      <c r="I42" s="2">
        <v>14616479.76</v>
      </c>
      <c r="J42" s="2">
        <v>2129227.0299999998</v>
      </c>
      <c r="K42" s="2">
        <v>7843217.96</v>
      </c>
      <c r="L42" s="2">
        <v>2129227.0299999998</v>
      </c>
      <c r="M42" s="2">
        <v>7533070</v>
      </c>
      <c r="N42" s="2">
        <v>2129227.0299999998</v>
      </c>
      <c r="O42" s="2">
        <v>6652443.1100000003</v>
      </c>
      <c r="P42" s="2">
        <v>2344248.65</v>
      </c>
      <c r="Q42" s="2">
        <f>8677372.77+42645.25</f>
        <v>8720018.0199999996</v>
      </c>
      <c r="R42" s="2">
        <f>2344248.65</f>
        <v>2344248.65</v>
      </c>
      <c r="S42" s="2">
        <f>69747.65+9218096.72</f>
        <v>9287844.370000001</v>
      </c>
      <c r="T42" s="2">
        <v>2271307.65</v>
      </c>
      <c r="U42" s="2">
        <f>94170.06+10964271.83</f>
        <v>11058441.890000001</v>
      </c>
      <c r="V42" s="2">
        <f>2046307.65</f>
        <v>2046307.65</v>
      </c>
      <c r="W42" s="2">
        <f>11194823.81+98358.34</f>
        <v>11293182.15</v>
      </c>
      <c r="X42" s="2">
        <f>2161998.65</f>
        <v>2161998.65</v>
      </c>
      <c r="Y42" s="2">
        <v>13594212.15</v>
      </c>
      <c r="Z42" s="2">
        <v>4751435.4800000004</v>
      </c>
      <c r="AA42" s="16">
        <f>77325.12+12375433.35</f>
        <v>12452758.469999999</v>
      </c>
      <c r="AB42" s="16">
        <v>1634678.03</v>
      </c>
      <c r="AC42" s="16">
        <f>263374.33+25371454.14</f>
        <v>25634828.469999999</v>
      </c>
      <c r="AD42" s="16">
        <v>7111498.0199999996</v>
      </c>
      <c r="AE42" s="23">
        <f>361338.29+22200823.79</f>
        <v>22562162.079999998</v>
      </c>
      <c r="AF42" s="23">
        <v>1203080.3799999999</v>
      </c>
      <c r="AG42" s="23">
        <f>223320.42+7979287.52</f>
        <v>8202607.9399999995</v>
      </c>
      <c r="AH42" s="13"/>
      <c r="AI42" s="16">
        <f>58898.5+5757823.28+84105.04+8232493.31</f>
        <v>14133320.129999999</v>
      </c>
      <c r="AJ42" s="16">
        <f>58898.5+84105.04</f>
        <v>143003.53999999998</v>
      </c>
      <c r="AK42" s="16">
        <v>1077110.1399999999</v>
      </c>
      <c r="AL42" s="16"/>
      <c r="AM42" s="16">
        <f>4247776.25+4461325.3</f>
        <v>8709101.5500000007</v>
      </c>
      <c r="AN42" s="16">
        <f>638603.6+174743.42</f>
        <v>813347.02</v>
      </c>
      <c r="AO42" s="16">
        <v>220343.81</v>
      </c>
      <c r="AP42" s="16"/>
      <c r="AQ42" s="24"/>
      <c r="AR42" s="24"/>
      <c r="AU42" s="30"/>
    </row>
    <row r="43" spans="1:47" ht="18" customHeight="1" x14ac:dyDescent="0.25">
      <c r="A43" s="109" t="s">
        <v>8</v>
      </c>
      <c r="B43" s="1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6">
        <f>774524.11+20097533.72</f>
        <v>20872057.829999998</v>
      </c>
      <c r="AB43" s="16"/>
      <c r="AC43" s="16">
        <f>815882.11+24539657.77</f>
        <v>25355539.879999999</v>
      </c>
      <c r="AD43" s="16"/>
      <c r="AE43" s="23">
        <f>826423.25+23317982.32</f>
        <v>24144405.57</v>
      </c>
      <c r="AF43" s="23">
        <v>16922780.550000001</v>
      </c>
      <c r="AG43" s="23"/>
      <c r="AH43" s="13"/>
      <c r="AI43" s="16">
        <f>6636427.13+2761581.99+10175763.76+5190667.21</f>
        <v>24764440.090000004</v>
      </c>
      <c r="AJ43" s="16">
        <f>6636427.13+10175763.76</f>
        <v>16812190.890000001</v>
      </c>
      <c r="AK43" s="16"/>
      <c r="AL43" s="16"/>
      <c r="AM43" s="16">
        <f>9526727.8+14044931.23</f>
        <v>23571659.030000001</v>
      </c>
      <c r="AN43" s="16">
        <f>6827968.53+10583958.15</f>
        <v>17411926.68</v>
      </c>
      <c r="AO43" s="16"/>
      <c r="AP43" s="16"/>
      <c r="AQ43" s="24"/>
      <c r="AR43" s="24"/>
    </row>
    <row r="44" spans="1:47" ht="44.25" customHeight="1" x14ac:dyDescent="0.25">
      <c r="A44" s="109" t="s">
        <v>9</v>
      </c>
      <c r="B44" s="110"/>
      <c r="C44" s="2"/>
      <c r="D44" s="2"/>
      <c r="E44" s="2">
        <v>4317281.3899999997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3356790.95</v>
      </c>
      <c r="Z44" s="2"/>
      <c r="AA44" s="16">
        <f>511757.59+6814505.62</f>
        <v>7326263.21</v>
      </c>
      <c r="AB44" s="16"/>
      <c r="AC44" s="16">
        <f>484038.54+11956133.92</f>
        <v>12440172.459999999</v>
      </c>
      <c r="AD44" s="16">
        <v>10626588</v>
      </c>
      <c r="AE44" s="23">
        <f>871920.5+16450579.56</f>
        <v>17322500.060000002</v>
      </c>
      <c r="AF44" s="23">
        <v>10123252.640000001</v>
      </c>
      <c r="AG44" s="23">
        <f>353493.68+11501508.54</f>
        <v>11855002.219999999</v>
      </c>
      <c r="AH44" s="13"/>
      <c r="AI44" s="16">
        <f>4846101.83+2549979.72+3834472.6+2522828.53</f>
        <v>13753382.68</v>
      </c>
      <c r="AJ44" s="16">
        <f>4846101.83+3834472.6</f>
        <v>8680574.4299999997</v>
      </c>
      <c r="AK44" s="16"/>
      <c r="AL44" s="16"/>
      <c r="AM44" s="16">
        <f>2599224.66+2195763.74</f>
        <v>4794988.4000000004</v>
      </c>
      <c r="AN44" s="16">
        <f>324558.81+1195611.78</f>
        <v>1520170.59</v>
      </c>
      <c r="AO44" s="16"/>
      <c r="AP44" s="16"/>
      <c r="AQ44" s="24"/>
      <c r="AR44" s="24"/>
    </row>
    <row r="45" spans="1:47" ht="16.899999999999999" customHeight="1" x14ac:dyDescent="0.25">
      <c r="A45" s="109" t="s">
        <v>10</v>
      </c>
      <c r="B45" s="110"/>
      <c r="C45" s="2"/>
      <c r="D45" s="2"/>
      <c r="E45" s="2">
        <v>50229554.060000002</v>
      </c>
      <c r="F45" s="2">
        <v>49311505.640000001</v>
      </c>
      <c r="G45" s="2">
        <f>54914409.14+4146331.65</f>
        <v>59060740.789999999</v>
      </c>
      <c r="H45" s="2">
        <f>4092516+44233103.62</f>
        <v>48325619.619999997</v>
      </c>
      <c r="I45" s="2">
        <f>4125519+52000853.47</f>
        <v>56126372.469999999</v>
      </c>
      <c r="J45" s="2">
        <f>4092516+48802373.86</f>
        <v>52894889.859999999</v>
      </c>
      <c r="K45" s="2">
        <f>4106722+58655126.14</f>
        <v>62761848.140000001</v>
      </c>
      <c r="L45" s="2">
        <f>4092516+51722209.7</f>
        <v>55814725.700000003</v>
      </c>
      <c r="M45" s="2">
        <f>3726327.65+62112387.9</f>
        <v>65838715.549999997</v>
      </c>
      <c r="N45" s="2">
        <f>51679075.14+3711331.65</f>
        <v>55390406.789999999</v>
      </c>
      <c r="O45" s="2">
        <f>3292052+59912517.14</f>
        <v>63204569.140000001</v>
      </c>
      <c r="P45" s="2">
        <f>3292052+59912517.14</f>
        <v>63204569.140000001</v>
      </c>
      <c r="Q45" s="2">
        <f>59493077.9+3296661.65</f>
        <v>62789739.549999997</v>
      </c>
      <c r="R45" s="2">
        <f>3296661.65+52221949.14</f>
        <v>55518610.789999999</v>
      </c>
      <c r="S45" s="2">
        <f>58887656.94+3311445.65</f>
        <v>62199102.589999996</v>
      </c>
      <c r="T45" s="2">
        <f>3296661.65+52221949.14</f>
        <v>55518610.789999999</v>
      </c>
      <c r="U45" s="2">
        <f>56222191.94+3311445.65</f>
        <v>59533637.589999996</v>
      </c>
      <c r="V45" s="2">
        <f>3311445.65+56222191.94</f>
        <v>59533637.589999996</v>
      </c>
      <c r="W45" s="2">
        <f>1281078.35+54292200.96</f>
        <v>55573279.310000002</v>
      </c>
      <c r="X45" s="2">
        <f>54292200.96+1281078.35</f>
        <v>55573279.310000002</v>
      </c>
      <c r="Y45" s="2">
        <v>55305512.479999997</v>
      </c>
      <c r="Z45" s="2">
        <v>55305512.479999997</v>
      </c>
      <c r="AA45" s="16">
        <v>12430432.640000001</v>
      </c>
      <c r="AB45" s="16">
        <v>12430432.640000001</v>
      </c>
      <c r="AC45" s="16">
        <v>19001954.52</v>
      </c>
      <c r="AD45" s="16">
        <v>19001954.52</v>
      </c>
      <c r="AE45" s="23">
        <f>8958+7347927.08</f>
        <v>7356885.0800000001</v>
      </c>
      <c r="AF45" s="13"/>
      <c r="AG45" s="23">
        <f>8958+6907494.08</f>
        <v>6916452.0800000001</v>
      </c>
      <c r="AH45" s="13"/>
      <c r="AI45" s="16">
        <f>2101880.84+3050643.64</f>
        <v>5152524.4800000004</v>
      </c>
      <c r="AJ45" s="16"/>
      <c r="AK45" s="16">
        <f>2101856.09+3050642.64</f>
        <v>5152498.7300000004</v>
      </c>
      <c r="AL45" s="16"/>
      <c r="AM45" s="16">
        <f>197520+234364</f>
        <v>431884</v>
      </c>
      <c r="AN45" s="16"/>
      <c r="AO45" s="16">
        <f>197520+234364</f>
        <v>431884</v>
      </c>
      <c r="AP45" s="16"/>
      <c r="AQ45" s="24" t="s">
        <v>42</v>
      </c>
      <c r="AR45" s="24"/>
    </row>
    <row r="46" spans="1:47" ht="31.5" customHeight="1" x14ac:dyDescent="0.25">
      <c r="A46" s="109" t="s">
        <v>16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30781549.66</v>
      </c>
      <c r="Z46" s="2">
        <v>30779212.829999998</v>
      </c>
      <c r="AA46" s="16">
        <f>3305399.51+525.46</f>
        <v>3305924.9699999997</v>
      </c>
      <c r="AB46" s="16">
        <v>1468652.52</v>
      </c>
      <c r="AC46" s="16">
        <f>37418429.35+92913.85</f>
        <v>37511343.200000003</v>
      </c>
      <c r="AD46" s="16">
        <v>35708297.810000002</v>
      </c>
      <c r="AE46" s="23">
        <f>27144292.69+67092.49</f>
        <v>27211385.18</v>
      </c>
      <c r="AF46" s="13"/>
      <c r="AG46" s="23">
        <v>25563940.289999999</v>
      </c>
      <c r="AH46" s="13"/>
      <c r="AI46" s="16">
        <f>5363159.41+45867.6+4665</f>
        <v>5413692.0099999998</v>
      </c>
      <c r="AJ46" s="16">
        <f>45867.6+2181170.99</f>
        <v>2227038.5900000003</v>
      </c>
      <c r="AK46" s="16">
        <v>3181988.42</v>
      </c>
      <c r="AL46" s="16"/>
      <c r="AM46" s="16">
        <f>1130353.93</f>
        <v>1130353.93</v>
      </c>
      <c r="AN46" s="16">
        <v>26911.07</v>
      </c>
      <c r="AO46" s="16"/>
      <c r="AP46" s="16"/>
      <c r="AQ46" s="24"/>
      <c r="AR46" s="24"/>
    </row>
    <row r="47" spans="1:47" x14ac:dyDescent="0.25">
      <c r="A47" s="111" t="s">
        <v>3</v>
      </c>
      <c r="B47" s="112"/>
      <c r="C47" s="115">
        <v>-7680.14</v>
      </c>
      <c r="D47" s="115">
        <f>SUM(D49:D53)</f>
        <v>0</v>
      </c>
      <c r="E47" s="115">
        <f t="shared" ref="E47:AD47" si="8">SUM(E49:E53)</f>
        <v>0</v>
      </c>
      <c r="F47" s="115">
        <f t="shared" si="8"/>
        <v>0</v>
      </c>
      <c r="G47" s="115">
        <f t="shared" si="8"/>
        <v>114426.95</v>
      </c>
      <c r="H47" s="115">
        <f t="shared" si="8"/>
        <v>0</v>
      </c>
      <c r="I47" s="115">
        <f t="shared" si="8"/>
        <v>88290.77</v>
      </c>
      <c r="J47" s="115">
        <f t="shared" si="8"/>
        <v>0</v>
      </c>
      <c r="K47" s="115">
        <f t="shared" si="8"/>
        <v>51440.42</v>
      </c>
      <c r="L47" s="115">
        <f t="shared" si="8"/>
        <v>0</v>
      </c>
      <c r="M47" s="115">
        <f t="shared" si="8"/>
        <v>169857.58</v>
      </c>
      <c r="N47" s="115">
        <f t="shared" si="8"/>
        <v>0</v>
      </c>
      <c r="O47" s="115">
        <f t="shared" si="8"/>
        <v>77731.77</v>
      </c>
      <c r="P47" s="115">
        <f t="shared" si="8"/>
        <v>0</v>
      </c>
      <c r="Q47" s="115">
        <f t="shared" si="8"/>
        <v>55035.07</v>
      </c>
      <c r="R47" s="115">
        <f t="shared" si="8"/>
        <v>0</v>
      </c>
      <c r="S47" s="115">
        <f t="shared" si="8"/>
        <v>80513.679999999993</v>
      </c>
      <c r="T47" s="115">
        <f t="shared" si="8"/>
        <v>0</v>
      </c>
      <c r="U47" s="115">
        <f t="shared" si="8"/>
        <v>77945.259999999995</v>
      </c>
      <c r="V47" s="115">
        <f t="shared" si="8"/>
        <v>0</v>
      </c>
      <c r="W47" s="115">
        <f t="shared" si="8"/>
        <v>84064.9</v>
      </c>
      <c r="X47" s="115">
        <f t="shared" si="8"/>
        <v>0</v>
      </c>
      <c r="Y47" s="115">
        <f t="shared" si="8"/>
        <v>0</v>
      </c>
      <c r="Z47" s="115">
        <f t="shared" si="8"/>
        <v>0</v>
      </c>
      <c r="AA47" s="128">
        <f t="shared" si="8"/>
        <v>663721.94999999995</v>
      </c>
      <c r="AB47" s="128">
        <f t="shared" si="8"/>
        <v>0</v>
      </c>
      <c r="AC47" s="128">
        <f t="shared" si="8"/>
        <v>856387.40999999992</v>
      </c>
      <c r="AD47" s="128">
        <f t="shared" si="8"/>
        <v>0</v>
      </c>
      <c r="AE47" s="126">
        <f t="shared" ref="AE47:AL47" si="9">AE49+AE50+AE51+AE52+AE53</f>
        <v>807619</v>
      </c>
      <c r="AF47" s="126">
        <f t="shared" si="9"/>
        <v>0</v>
      </c>
      <c r="AG47" s="126">
        <f t="shared" si="9"/>
        <v>0</v>
      </c>
      <c r="AH47" s="126">
        <f t="shared" si="9"/>
        <v>0</v>
      </c>
      <c r="AI47" s="122">
        <f t="shared" si="9"/>
        <v>1745805.9500000002</v>
      </c>
      <c r="AJ47" s="122">
        <f t="shared" si="9"/>
        <v>0</v>
      </c>
      <c r="AK47" s="122">
        <v>0</v>
      </c>
      <c r="AL47" s="122">
        <f t="shared" si="9"/>
        <v>0</v>
      </c>
      <c r="AM47" s="122">
        <f>AM49+AM50+AM51+AM52+AM53</f>
        <v>1275475.53</v>
      </c>
      <c r="AN47" s="122">
        <f>AN49+AN50+AN51+AN52+AN53</f>
        <v>0</v>
      </c>
      <c r="AO47" s="122">
        <f>AO49+AO50+AO51+AO52+AO53</f>
        <v>0</v>
      </c>
      <c r="AP47" s="122">
        <f>AP49+AP50+AP51+AP52+AP53</f>
        <v>0</v>
      </c>
      <c r="AQ47" s="116">
        <f>AM47/AI47-1</f>
        <v>-0.26940589817556759</v>
      </c>
      <c r="AR47" s="116" t="e">
        <f>AO47/AK47-1</f>
        <v>#DIV/0!</v>
      </c>
    </row>
    <row r="48" spans="1:47" x14ac:dyDescent="0.25">
      <c r="A48" s="113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5"/>
      <c r="AB48" s="125"/>
      <c r="AC48" s="125"/>
      <c r="AD48" s="125"/>
      <c r="AE48" s="127"/>
      <c r="AF48" s="127"/>
      <c r="AG48" s="127"/>
      <c r="AH48" s="127"/>
      <c r="AI48" s="123"/>
      <c r="AJ48" s="123"/>
      <c r="AK48" s="123"/>
      <c r="AL48" s="123"/>
      <c r="AM48" s="123"/>
      <c r="AN48" s="123"/>
      <c r="AO48" s="123"/>
      <c r="AP48" s="123"/>
      <c r="AQ48" s="117"/>
      <c r="AR48" s="117"/>
    </row>
    <row r="49" spans="1:44" x14ac:dyDescent="0.25">
      <c r="A49" s="109" t="s">
        <v>11</v>
      </c>
      <c r="B49" s="110"/>
      <c r="C49" s="2">
        <v>0</v>
      </c>
      <c r="D49" s="2"/>
      <c r="E49" s="2">
        <v>0</v>
      </c>
      <c r="F49" s="2"/>
      <c r="G49" s="2">
        <v>114426.95</v>
      </c>
      <c r="H49" s="2"/>
      <c r="I49" s="2">
        <v>88290.77</v>
      </c>
      <c r="J49" s="2"/>
      <c r="K49" s="2">
        <v>51440.42</v>
      </c>
      <c r="L49" s="2"/>
      <c r="M49" s="2">
        <v>169857.58</v>
      </c>
      <c r="N49" s="2"/>
      <c r="O49" s="2">
        <v>77731.77</v>
      </c>
      <c r="P49" s="2"/>
      <c r="Q49" s="2">
        <v>55035.07</v>
      </c>
      <c r="R49" s="2"/>
      <c r="S49" s="2">
        <v>80513.679999999993</v>
      </c>
      <c r="T49" s="2"/>
      <c r="U49" s="2">
        <v>77945.259999999995</v>
      </c>
      <c r="V49" s="2"/>
      <c r="W49" s="2">
        <v>84064.9</v>
      </c>
      <c r="X49" s="2"/>
      <c r="Y49" s="2"/>
      <c r="Z49" s="2"/>
      <c r="AA49" s="16">
        <v>4839.6099999999997</v>
      </c>
      <c r="AB49" s="16"/>
      <c r="AC49" s="16">
        <v>85242.16</v>
      </c>
      <c r="AD49" s="13"/>
      <c r="AE49" s="23">
        <v>172973.85</v>
      </c>
      <c r="AF49" s="23"/>
      <c r="AG49" s="23"/>
      <c r="AH49" s="23"/>
      <c r="AI49" s="16">
        <f>72200.43+5275.44</f>
        <v>77475.87</v>
      </c>
      <c r="AJ49" s="16"/>
      <c r="AK49" s="16"/>
      <c r="AL49" s="16"/>
      <c r="AM49" s="16">
        <f>157495.12+8655.58</f>
        <v>166150.69999999998</v>
      </c>
      <c r="AN49" s="16"/>
      <c r="AO49" s="16"/>
      <c r="AP49" s="16"/>
      <c r="AQ49" s="24"/>
      <c r="AR49" s="24"/>
    </row>
    <row r="50" spans="1:44" x14ac:dyDescent="0.25">
      <c r="A50" s="109" t="s">
        <v>8</v>
      </c>
      <c r="B50" s="1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6">
        <v>446550.73</v>
      </c>
      <c r="AB50" s="16"/>
      <c r="AC50" s="16">
        <v>451706.16</v>
      </c>
      <c r="AD50" s="13"/>
      <c r="AE50" s="23">
        <v>291019.77</v>
      </c>
      <c r="AF50" s="23"/>
      <c r="AG50" s="23"/>
      <c r="AH50" s="23"/>
      <c r="AI50" s="16">
        <f>696234.36+399212.22</f>
        <v>1095446.58</v>
      </c>
      <c r="AJ50" s="16"/>
      <c r="AK50" s="16"/>
      <c r="AL50" s="16"/>
      <c r="AM50" s="16">
        <f>405980.34+264461.54</f>
        <v>670441.88</v>
      </c>
      <c r="AN50" s="16"/>
      <c r="AO50" s="16"/>
      <c r="AP50" s="16"/>
      <c r="AQ50" s="24"/>
      <c r="AR50" s="24"/>
    </row>
    <row r="51" spans="1:44" x14ac:dyDescent="0.25">
      <c r="A51" s="109" t="s">
        <v>9</v>
      </c>
      <c r="B51" s="110"/>
      <c r="C51" s="2">
        <v>0</v>
      </c>
      <c r="D51" s="2"/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6"/>
      <c r="AB51" s="23"/>
      <c r="AC51" s="16"/>
      <c r="AD51" s="13"/>
      <c r="AE51" s="23"/>
      <c r="AF51" s="23"/>
      <c r="AG51" s="23"/>
      <c r="AH51" s="23"/>
      <c r="AI51" s="16"/>
      <c r="AJ51" s="16"/>
      <c r="AK51" s="16"/>
      <c r="AL51" s="16"/>
      <c r="AM51" s="16"/>
      <c r="AN51" s="16"/>
      <c r="AO51" s="16"/>
      <c r="AP51" s="16"/>
      <c r="AQ51" s="24"/>
      <c r="AR51" s="24"/>
    </row>
    <row r="52" spans="1:44" x14ac:dyDescent="0.25">
      <c r="A52" s="109" t="s">
        <v>10</v>
      </c>
      <c r="B52" s="1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6">
        <v>212331.61</v>
      </c>
      <c r="AB52" s="16"/>
      <c r="AC52" s="16">
        <v>319439.09000000003</v>
      </c>
      <c r="AD52" s="13"/>
      <c r="AE52" s="23">
        <v>343625.38</v>
      </c>
      <c r="AF52" s="23"/>
      <c r="AG52" s="23"/>
      <c r="AH52" s="23"/>
      <c r="AI52" s="16">
        <f>340695.57+232187.93</f>
        <v>572883.5</v>
      </c>
      <c r="AJ52" s="16"/>
      <c r="AK52" s="16"/>
      <c r="AL52" s="16"/>
      <c r="AM52" s="16">
        <f>227286.6+127346.35</f>
        <v>354632.95</v>
      </c>
      <c r="AN52" s="16"/>
      <c r="AO52" s="16"/>
      <c r="AP52" s="16"/>
      <c r="AQ52" s="24"/>
      <c r="AR52" s="24"/>
    </row>
    <row r="53" spans="1:44" x14ac:dyDescent="0.25">
      <c r="A53" s="109" t="s">
        <v>16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6"/>
      <c r="AJ53" s="16"/>
      <c r="AK53" s="16"/>
      <c r="AL53" s="16"/>
      <c r="AM53" s="16">
        <v>84250</v>
      </c>
      <c r="AN53" s="16"/>
      <c r="AO53" s="16"/>
      <c r="AP53" s="16"/>
      <c r="AQ53" s="24"/>
      <c r="AR53" s="24"/>
    </row>
    <row r="54" spans="1:44" x14ac:dyDescent="0.25">
      <c r="A54" s="111" t="s">
        <v>19</v>
      </c>
      <c r="B54" s="112"/>
      <c r="C54" s="115">
        <v>24738.76</v>
      </c>
      <c r="D54" s="115">
        <f t="shared" ref="D54:Z54" si="10">SUM(D56:D60)</f>
        <v>0</v>
      </c>
      <c r="E54" s="115">
        <f t="shared" si="10"/>
        <v>162585.41</v>
      </c>
      <c r="F54" s="115">
        <f t="shared" si="10"/>
        <v>0</v>
      </c>
      <c r="G54" s="115">
        <f t="shared" si="10"/>
        <v>2836261.8599999994</v>
      </c>
      <c r="H54" s="115">
        <f t="shared" si="10"/>
        <v>179639.45</v>
      </c>
      <c r="I54" s="115">
        <f t="shared" si="10"/>
        <v>2968161.5</v>
      </c>
      <c r="J54" s="115">
        <f t="shared" si="10"/>
        <v>179639.45</v>
      </c>
      <c r="K54" s="115">
        <f t="shared" si="10"/>
        <v>3579888.6599999997</v>
      </c>
      <c r="L54" s="115">
        <f t="shared" si="10"/>
        <v>179639.45</v>
      </c>
      <c r="M54" s="115">
        <f t="shared" si="10"/>
        <v>2288254.44</v>
      </c>
      <c r="N54" s="115">
        <f t="shared" si="10"/>
        <v>179639.45</v>
      </c>
      <c r="O54" s="115">
        <f t="shared" si="10"/>
        <v>2699902.61</v>
      </c>
      <c r="P54" s="115">
        <f t="shared" si="10"/>
        <v>179639.45</v>
      </c>
      <c r="Q54" s="115">
        <f t="shared" si="10"/>
        <v>2782603.59</v>
      </c>
      <c r="R54" s="115">
        <f t="shared" si="10"/>
        <v>179639.45</v>
      </c>
      <c r="S54" s="115">
        <f t="shared" si="10"/>
        <v>2615855.7999999998</v>
      </c>
      <c r="T54" s="115">
        <f t="shared" si="10"/>
        <v>179639.45</v>
      </c>
      <c r="U54" s="115">
        <f t="shared" si="10"/>
        <v>2483055.5499999998</v>
      </c>
      <c r="V54" s="115">
        <f t="shared" si="10"/>
        <v>142806.04</v>
      </c>
      <c r="W54" s="115">
        <f t="shared" si="10"/>
        <v>2680559.16</v>
      </c>
      <c r="X54" s="115">
        <f t="shared" si="10"/>
        <v>142806.04</v>
      </c>
      <c r="Y54" s="115">
        <f t="shared" si="10"/>
        <v>79878.12999999999</v>
      </c>
      <c r="Z54" s="115">
        <f t="shared" si="10"/>
        <v>0</v>
      </c>
      <c r="AA54" s="128">
        <f>SUM(AA56:AA60)</f>
        <v>2592606.9299999997</v>
      </c>
      <c r="AB54" s="128">
        <f>SUM(AB56:AB60)</f>
        <v>0</v>
      </c>
      <c r="AC54" s="128">
        <f>SUM(AC56:AC60)</f>
        <v>4410926.9800000004</v>
      </c>
      <c r="AD54" s="128">
        <f>SUM(AD56:AD60)</f>
        <v>1508980.59</v>
      </c>
      <c r="AE54" s="126">
        <f t="shared" ref="AE54:AJ54" si="11">AE56+AE57+AE58+AE59+AE60</f>
        <v>6043790.8399999999</v>
      </c>
      <c r="AF54" s="126">
        <f t="shared" si="11"/>
        <v>5996669.2400000002</v>
      </c>
      <c r="AG54" s="126">
        <f t="shared" si="11"/>
        <v>1880593.8800000001</v>
      </c>
      <c r="AH54" s="126">
        <f t="shared" si="11"/>
        <v>1880593.88</v>
      </c>
      <c r="AI54" s="122">
        <f t="shared" si="11"/>
        <v>4401686.4800000004</v>
      </c>
      <c r="AJ54" s="122">
        <f t="shared" si="11"/>
        <v>4300435.1999999993</v>
      </c>
      <c r="AK54" s="122">
        <v>0</v>
      </c>
      <c r="AL54" s="122">
        <v>0</v>
      </c>
      <c r="AM54" s="122">
        <f>AM56+AM57+AM58+AM59+AM60</f>
        <v>4584821.21</v>
      </c>
      <c r="AN54" s="122">
        <f>AN56+AN57+AN58+AN59+AN60</f>
        <v>4511814.3199999994</v>
      </c>
      <c r="AO54" s="122">
        <f>AO56+AO57+AO58+AO59+AO60</f>
        <v>0</v>
      </c>
      <c r="AP54" s="122">
        <f>AP56+AP57+AP58+AP59+AP60</f>
        <v>0</v>
      </c>
      <c r="AQ54" s="116">
        <f>AM54/AI54-1</f>
        <v>4.1605582503913219E-2</v>
      </c>
      <c r="AR54" s="116" t="e">
        <f>AO54/AK54-1</f>
        <v>#DIV/0!</v>
      </c>
    </row>
    <row r="55" spans="1:44" x14ac:dyDescent="0.25">
      <c r="A55" s="113"/>
      <c r="B55" s="11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5"/>
      <c r="AB55" s="125"/>
      <c r="AC55" s="125"/>
      <c r="AD55" s="125"/>
      <c r="AE55" s="127"/>
      <c r="AF55" s="127"/>
      <c r="AG55" s="127"/>
      <c r="AH55" s="127"/>
      <c r="AI55" s="123"/>
      <c r="AJ55" s="123"/>
      <c r="AK55" s="123"/>
      <c r="AL55" s="123"/>
      <c r="AM55" s="123"/>
      <c r="AN55" s="123"/>
      <c r="AO55" s="123"/>
      <c r="AP55" s="123"/>
      <c r="AQ55" s="117"/>
      <c r="AR55" s="117"/>
    </row>
    <row r="56" spans="1:44" x14ac:dyDescent="0.25">
      <c r="A56" s="109" t="s">
        <v>11</v>
      </c>
      <c r="B56" s="110"/>
      <c r="C56" s="2"/>
      <c r="D56" s="2"/>
      <c r="E56" s="2">
        <v>162585.41</v>
      </c>
      <c r="F56" s="2"/>
      <c r="G56" s="2">
        <f>410855.69+138863.03</f>
        <v>549718.72</v>
      </c>
      <c r="H56" s="2">
        <v>179639.45</v>
      </c>
      <c r="I56" s="2">
        <f>349786.74+482870.23</f>
        <v>832656.97</v>
      </c>
      <c r="J56" s="2">
        <v>179639.45</v>
      </c>
      <c r="K56" s="2">
        <f>325550.4+256894.84</f>
        <v>582445.24</v>
      </c>
      <c r="L56" s="2">
        <v>179639.45</v>
      </c>
      <c r="M56" s="2">
        <f>32098.35+367708.31</f>
        <v>399806.66</v>
      </c>
      <c r="N56" s="2">
        <v>179639.45</v>
      </c>
      <c r="O56" s="2">
        <f>19053.66+339996.73</f>
        <v>359050.38999999996</v>
      </c>
      <c r="P56" s="2">
        <v>179639.45</v>
      </c>
      <c r="Q56" s="2">
        <f>214101.64+184501.39</f>
        <v>398603.03</v>
      </c>
      <c r="R56" s="2">
        <v>179639.45</v>
      </c>
      <c r="S56" s="2">
        <f>293392.92+82646.26</f>
        <v>376039.18</v>
      </c>
      <c r="T56" s="2">
        <v>179639.45</v>
      </c>
      <c r="U56" s="2">
        <f>18347.3+293392.92</f>
        <v>311740.21999999997</v>
      </c>
      <c r="V56" s="2">
        <f>142806.04</f>
        <v>142806.04</v>
      </c>
      <c r="W56" s="2">
        <f>175124.05+248350.04</f>
        <v>423474.08999999997</v>
      </c>
      <c r="X56" s="2">
        <v>142806.04</v>
      </c>
      <c r="Y56" s="2">
        <v>99147.76</v>
      </c>
      <c r="Z56" s="2"/>
      <c r="AA56" s="16">
        <f>23731.53+27555.65</f>
        <v>51287.18</v>
      </c>
      <c r="AB56" s="16"/>
      <c r="AC56" s="16">
        <f>36698.81+43106.43</f>
        <v>79805.239999999991</v>
      </c>
      <c r="AD56" s="16"/>
      <c r="AE56" s="23">
        <f>AF56+16412.78</f>
        <v>238760.13999999998</v>
      </c>
      <c r="AF56" s="23">
        <f>104792.76+117554.6</f>
        <v>222347.36</v>
      </c>
      <c r="AG56" s="13"/>
      <c r="AH56" s="23"/>
      <c r="AI56" s="16">
        <f>54159.74+22819.27+80774.94</f>
        <v>157753.95000000001</v>
      </c>
      <c r="AJ56" s="29">
        <f>54159.74+22819.27</f>
        <v>76979.009999999995</v>
      </c>
      <c r="AK56" s="16"/>
      <c r="AL56" s="16"/>
      <c r="AM56" s="16">
        <f>109018.04+66687.05+56028.7</f>
        <v>231733.78999999998</v>
      </c>
      <c r="AN56" s="16">
        <f>109018.04+66687.05</f>
        <v>175705.09</v>
      </c>
      <c r="AO56" s="16"/>
      <c r="AP56" s="16"/>
      <c r="AQ56" s="24"/>
      <c r="AR56" s="24"/>
    </row>
    <row r="57" spans="1:44" x14ac:dyDescent="0.25">
      <c r="A57" s="109" t="s">
        <v>8</v>
      </c>
      <c r="B57" s="110"/>
      <c r="C57" s="2"/>
      <c r="D57" s="2"/>
      <c r="E57" s="2"/>
      <c r="F57" s="2"/>
      <c r="G57" s="2">
        <f>1280106.96+331142.71</f>
        <v>1611249.67</v>
      </c>
      <c r="H57" s="2"/>
      <c r="I57" s="2">
        <f>1112706.33+292125.54</f>
        <v>1404831.87</v>
      </c>
      <c r="J57" s="2"/>
      <c r="K57" s="2">
        <f>1664826.89+424726.47</f>
        <v>2089553.3599999999</v>
      </c>
      <c r="L57" s="2"/>
      <c r="M57" s="2">
        <v>1291836.76</v>
      </c>
      <c r="N57" s="2"/>
      <c r="O57" s="2">
        <f>336869.12+1006180.12</f>
        <v>1343049.24</v>
      </c>
      <c r="P57" s="2"/>
      <c r="Q57" s="2">
        <f>290310.2+1054801</f>
        <v>1345111.2</v>
      </c>
      <c r="R57" s="2"/>
      <c r="S57" s="2">
        <f>210412.6+1031728.18</f>
        <v>1242140.78</v>
      </c>
      <c r="T57" s="2"/>
      <c r="U57" s="2">
        <f>144677.62+1051908.03</f>
        <v>1196585.6499999999</v>
      </c>
      <c r="V57" s="2"/>
      <c r="W57" s="2">
        <f>257630.31+1025805.39</f>
        <v>1283435.7</v>
      </c>
      <c r="X57" s="2"/>
      <c r="Y57" s="2"/>
      <c r="Z57" s="2"/>
      <c r="AA57" s="16">
        <f>367554.1+1092399.95</f>
        <v>1459954.0499999998</v>
      </c>
      <c r="AB57" s="16"/>
      <c r="AC57" s="16">
        <f>413160.07+976030.95</f>
        <v>1389191.02</v>
      </c>
      <c r="AD57" s="16"/>
      <c r="AE57" s="23">
        <f>AF57+20410</f>
        <v>1483828.69</v>
      </c>
      <c r="AF57" s="23">
        <f>399447.7+1063970.99</f>
        <v>1463418.69</v>
      </c>
      <c r="AG57" s="13"/>
      <c r="AH57" s="23"/>
      <c r="AI57" s="16">
        <f>399497.7+11131.38+1854102.36</f>
        <v>2264731.44</v>
      </c>
      <c r="AJ57" s="16">
        <f>399497.7+1854102.36</f>
        <v>2253600.06</v>
      </c>
      <c r="AK57" s="16"/>
      <c r="AL57" s="16"/>
      <c r="AM57" s="16">
        <f>276074.47+5297.32+2619260.55</f>
        <v>2900632.34</v>
      </c>
      <c r="AN57" s="16">
        <f>276074.47+2619260.55</f>
        <v>2895335.0199999996</v>
      </c>
      <c r="AO57" s="16"/>
      <c r="AP57" s="16"/>
      <c r="AQ57" s="24"/>
      <c r="AR57" s="24"/>
    </row>
    <row r="58" spans="1:44" x14ac:dyDescent="0.25">
      <c r="A58" s="109" t="s">
        <v>9</v>
      </c>
      <c r="B58" s="110"/>
      <c r="C58" s="2"/>
      <c r="D58" s="2"/>
      <c r="E58" s="2"/>
      <c r="F58" s="2"/>
      <c r="G58" s="2">
        <f>191330.96+483962.51</f>
        <v>675293.47</v>
      </c>
      <c r="H58" s="2"/>
      <c r="I58" s="2">
        <f>171605.74+559066.92</f>
        <v>730672.66</v>
      </c>
      <c r="J58" s="2"/>
      <c r="K58" s="2">
        <f>209944.24+697945.82</f>
        <v>907890.05999999994</v>
      </c>
      <c r="L58" s="2"/>
      <c r="M58" s="2">
        <v>596611.02</v>
      </c>
      <c r="N58" s="2"/>
      <c r="O58" s="2">
        <f>198862.88+580042.1</f>
        <v>778904.98</v>
      </c>
      <c r="P58" s="2"/>
      <c r="Q58" s="2">
        <f>612669.18+219338.18</f>
        <v>832007.3600000001</v>
      </c>
      <c r="R58" s="2"/>
      <c r="S58" s="2">
        <f>201317.46+630998.38</f>
        <v>832315.84</v>
      </c>
      <c r="T58" s="2"/>
      <c r="U58" s="2">
        <f>184341.93+601701.1</f>
        <v>786043.03</v>
      </c>
      <c r="V58" s="2"/>
      <c r="W58" s="2">
        <f>177715.19+604861.18</f>
        <v>782576.37000000011</v>
      </c>
      <c r="X58" s="2"/>
      <c r="Y58" s="2">
        <v>-9193.7999999999993</v>
      </c>
      <c r="Z58" s="2"/>
      <c r="AA58" s="16">
        <f>254861.86+627161.14</f>
        <v>882023</v>
      </c>
      <c r="AB58" s="16"/>
      <c r="AC58" s="16">
        <f>363441.69+1320113.41</f>
        <v>1683555.0999999999</v>
      </c>
      <c r="AD58" s="16">
        <f>20923.56+643955.03</f>
        <v>664878.59000000008</v>
      </c>
      <c r="AE58" s="23">
        <f>AF58+9183.82</f>
        <v>2863942.15</v>
      </c>
      <c r="AF58" s="23">
        <f>469042.19+2385716.14</f>
        <v>2854758.33</v>
      </c>
      <c r="AG58" s="23">
        <v>1220473.1200000001</v>
      </c>
      <c r="AH58" s="23">
        <f>147655.46+1072817.66</f>
        <v>1220473.1199999999</v>
      </c>
      <c r="AI58" s="16">
        <f>283794.68+8867.96+960334.11</f>
        <v>1252996.75</v>
      </c>
      <c r="AJ58" s="16">
        <f>283794.68+960334.11</f>
        <v>1244128.79</v>
      </c>
      <c r="AK58" s="16"/>
      <c r="AL58" s="16"/>
      <c r="AM58" s="16">
        <f>163633.09+11506.87+615201.73</f>
        <v>790341.69</v>
      </c>
      <c r="AN58" s="16">
        <f>163633.09+615201.73</f>
        <v>778834.82</v>
      </c>
      <c r="AO58" s="16"/>
      <c r="AP58" s="16"/>
      <c r="AQ58" s="24"/>
      <c r="AR58" s="24"/>
    </row>
    <row r="59" spans="1:44" x14ac:dyDescent="0.25">
      <c r="A59" s="109" t="s">
        <v>10</v>
      </c>
      <c r="B59" s="1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218898</f>
        <v>218898</v>
      </c>
      <c r="P59" s="2"/>
      <c r="Q59" s="2">
        <v>206882</v>
      </c>
      <c r="R59" s="2"/>
      <c r="S59" s="2">
        <v>165360</v>
      </c>
      <c r="T59" s="2"/>
      <c r="U59" s="2">
        <v>188686.65</v>
      </c>
      <c r="V59" s="2"/>
      <c r="W59" s="2">
        <f>191073</f>
        <v>191073</v>
      </c>
      <c r="X59" s="2"/>
      <c r="Y59" s="2">
        <v>-12759</v>
      </c>
      <c r="Z59" s="2"/>
      <c r="AA59" s="16"/>
      <c r="AB59" s="16"/>
      <c r="AC59" s="16"/>
      <c r="AD59" s="16"/>
      <c r="AE59" s="23">
        <f>AF59+1115</f>
        <v>94671.360000000001</v>
      </c>
      <c r="AF59" s="23">
        <v>93556.36</v>
      </c>
      <c r="AG59" s="23"/>
      <c r="AH59" s="23"/>
      <c r="AI59" s="16">
        <f>92285.57+477</f>
        <v>92762.57</v>
      </c>
      <c r="AJ59" s="16">
        <v>92285.57</v>
      </c>
      <c r="AK59" s="16"/>
      <c r="AL59" s="16"/>
      <c r="AM59" s="16">
        <f>101572.57+174</f>
        <v>101746.57</v>
      </c>
      <c r="AN59" s="16">
        <v>101572.57</v>
      </c>
      <c r="AO59" s="16"/>
      <c r="AP59" s="16"/>
      <c r="AQ59" s="24"/>
      <c r="AR59" s="24"/>
    </row>
    <row r="60" spans="1:44" x14ac:dyDescent="0.25">
      <c r="A60" s="109" t="s">
        <v>16</v>
      </c>
      <c r="B60" s="1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2683.17</v>
      </c>
      <c r="Z60" s="2"/>
      <c r="AA60" s="16">
        <v>199342.7</v>
      </c>
      <c r="AB60" s="16"/>
      <c r="AC60" s="16">
        <f>1258375.62</f>
        <v>1258375.6200000001</v>
      </c>
      <c r="AD60" s="16">
        <v>844102</v>
      </c>
      <c r="AE60" s="23">
        <f>AF60</f>
        <v>1362588.5</v>
      </c>
      <c r="AF60" s="23">
        <v>1362588.5</v>
      </c>
      <c r="AG60" s="23">
        <v>660120.76</v>
      </c>
      <c r="AH60" s="23">
        <v>660120.76</v>
      </c>
      <c r="AI60" s="16">
        <f>633441.77</f>
        <v>633441.77</v>
      </c>
      <c r="AJ60" s="16">
        <v>633441.77</v>
      </c>
      <c r="AK60" s="16"/>
      <c r="AL60" s="16"/>
      <c r="AM60" s="16">
        <v>560366.81999999995</v>
      </c>
      <c r="AN60" s="16">
        <v>560366.81999999995</v>
      </c>
      <c r="AO60" s="16"/>
      <c r="AP60" s="16"/>
      <c r="AQ60" s="24"/>
      <c r="AR60" s="24"/>
    </row>
    <row r="61" spans="1:44" x14ac:dyDescent="0.25">
      <c r="A61" s="111" t="s">
        <v>17</v>
      </c>
      <c r="B61" s="112"/>
      <c r="C61" s="115">
        <v>10765845.27</v>
      </c>
      <c r="D61" s="115">
        <v>7171240.7400000002</v>
      </c>
      <c r="E61" s="115">
        <f>SUM(E63:E67)</f>
        <v>13066265.32</v>
      </c>
      <c r="F61" s="115">
        <f>SUM(F63:F67)</f>
        <v>9363054.25</v>
      </c>
      <c r="G61" s="115">
        <f t="shared" ref="G61:AC61" si="12">SUM(G63:G67)</f>
        <v>12452961.670000002</v>
      </c>
      <c r="H61" s="115">
        <f t="shared" si="12"/>
        <v>10697359.270000001</v>
      </c>
      <c r="I61" s="115">
        <f t="shared" si="12"/>
        <v>10509503.82</v>
      </c>
      <c r="J61" s="115">
        <f t="shared" si="12"/>
        <v>9311032.910000002</v>
      </c>
      <c r="K61" s="115">
        <f t="shared" si="12"/>
        <v>9816963.7700000014</v>
      </c>
      <c r="L61" s="115">
        <f t="shared" si="12"/>
        <v>9514146.0000000019</v>
      </c>
      <c r="M61" s="115">
        <f t="shared" si="12"/>
        <v>10491903.119999999</v>
      </c>
      <c r="N61" s="115">
        <f t="shared" si="12"/>
        <v>10223094.629999999</v>
      </c>
      <c r="O61" s="115">
        <f t="shared" si="12"/>
        <v>11041075.82</v>
      </c>
      <c r="P61" s="115">
        <f t="shared" si="12"/>
        <v>9852688.540000001</v>
      </c>
      <c r="Q61" s="115">
        <f t="shared" si="12"/>
        <v>11491967.560000001</v>
      </c>
      <c r="R61" s="115">
        <f t="shared" si="12"/>
        <v>9865070.0600000005</v>
      </c>
      <c r="S61" s="115">
        <f t="shared" si="12"/>
        <v>12060303.5</v>
      </c>
      <c r="T61" s="115">
        <f t="shared" si="12"/>
        <v>10862190.040000001</v>
      </c>
      <c r="U61" s="115">
        <f t="shared" si="12"/>
        <v>11619250.300000001</v>
      </c>
      <c r="V61" s="115">
        <f t="shared" si="12"/>
        <v>9816511.040000001</v>
      </c>
      <c r="W61" s="115">
        <f t="shared" si="12"/>
        <v>11514591.1</v>
      </c>
      <c r="X61" s="115">
        <f t="shared" si="12"/>
        <v>10293165.02</v>
      </c>
      <c r="Y61" s="115">
        <f t="shared" si="12"/>
        <v>14972637.870000001</v>
      </c>
      <c r="Z61" s="115">
        <f t="shared" si="12"/>
        <v>11006589.689999999</v>
      </c>
      <c r="AA61" s="128">
        <f t="shared" si="12"/>
        <v>11434380.700000001</v>
      </c>
      <c r="AB61" s="128">
        <f t="shared" si="12"/>
        <v>1118646.56</v>
      </c>
      <c r="AC61" s="128">
        <f t="shared" si="12"/>
        <v>20378851.969999999</v>
      </c>
      <c r="AD61" s="128">
        <f t="shared" ref="AD61:AK61" si="13">AD63+AD64+AD65+AD66+AD67</f>
        <v>6845671.4899999993</v>
      </c>
      <c r="AE61" s="126">
        <f t="shared" si="13"/>
        <v>21821924</v>
      </c>
      <c r="AF61" s="126">
        <f t="shared" si="13"/>
        <v>1624721</v>
      </c>
      <c r="AG61" s="126">
        <f t="shared" si="13"/>
        <v>8640587.1999999993</v>
      </c>
      <c r="AH61" s="126">
        <f t="shared" si="13"/>
        <v>0</v>
      </c>
      <c r="AI61" s="122">
        <f t="shared" si="13"/>
        <v>16329235.25</v>
      </c>
      <c r="AJ61" s="122">
        <v>0</v>
      </c>
      <c r="AK61" s="122">
        <f t="shared" si="13"/>
        <v>5018242.82</v>
      </c>
      <c r="AL61" s="122">
        <v>0</v>
      </c>
      <c r="AM61" s="122">
        <f>AM63+AM64+AM65+AM66+AM67</f>
        <v>15192039.25</v>
      </c>
      <c r="AN61" s="122">
        <f>AN63+AN64+AN65+AN66+AN67</f>
        <v>0</v>
      </c>
      <c r="AO61" s="122">
        <f>AO63+AO64+AO65+AO66+AO67</f>
        <v>2700000</v>
      </c>
      <c r="AP61" s="122">
        <f>AP63+AP64+AP65+AP66+AP67</f>
        <v>0</v>
      </c>
      <c r="AQ61" s="116">
        <f>AM61/AI61-1</f>
        <v>-6.9641718218249049E-2</v>
      </c>
      <c r="AR61" s="116">
        <f>AO61/AK61-1</f>
        <v>-0.46196306220192029</v>
      </c>
    </row>
    <row r="62" spans="1:44" x14ac:dyDescent="0.25">
      <c r="A62" s="113"/>
      <c r="B62" s="11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25"/>
      <c r="AB62" s="125"/>
      <c r="AC62" s="125"/>
      <c r="AD62" s="125"/>
      <c r="AE62" s="127"/>
      <c r="AF62" s="127"/>
      <c r="AG62" s="127"/>
      <c r="AH62" s="127"/>
      <c r="AI62" s="123"/>
      <c r="AJ62" s="123"/>
      <c r="AK62" s="123"/>
      <c r="AL62" s="123"/>
      <c r="AM62" s="123"/>
      <c r="AN62" s="123"/>
      <c r="AO62" s="123"/>
      <c r="AP62" s="123"/>
      <c r="AQ62" s="117"/>
      <c r="AR62" s="117"/>
    </row>
    <row r="63" spans="1:44" x14ac:dyDescent="0.25">
      <c r="A63" s="109" t="s">
        <v>11</v>
      </c>
      <c r="B63" s="110"/>
      <c r="C63" s="2"/>
      <c r="D63" s="2"/>
      <c r="E63" s="2">
        <v>1445875.56</v>
      </c>
      <c r="F63" s="2">
        <v>504057.32</v>
      </c>
      <c r="G63" s="2">
        <f>15780.83+1401592.32</f>
        <v>1417373.1500000001</v>
      </c>
      <c r="H63" s="2">
        <f>497307.75</f>
        <v>497307.75</v>
      </c>
      <c r="I63" s="2">
        <f>14359.15+1094634.15</f>
        <v>1108993.2999999998</v>
      </c>
      <c r="J63" s="2">
        <v>581610.39</v>
      </c>
      <c r="K63" s="2">
        <f>45290.3+812014.95</f>
        <v>857305.25</v>
      </c>
      <c r="L63" s="2">
        <v>554487.48</v>
      </c>
      <c r="M63" s="2">
        <f>22392+828113.09</f>
        <v>850505.09</v>
      </c>
      <c r="N63" s="2">
        <f>581696.6</f>
        <v>581696.6</v>
      </c>
      <c r="O63" s="2">
        <f>24207.15+1590490.12</f>
        <v>1614697.27</v>
      </c>
      <c r="P63" s="2">
        <f>484794.48</f>
        <v>484794.48</v>
      </c>
      <c r="Q63" s="2">
        <v>1906086.62</v>
      </c>
      <c r="R63" s="2"/>
      <c r="S63" s="2">
        <f>23600.15+1705289.54</f>
        <v>1728889.69</v>
      </c>
      <c r="T63" s="2">
        <v>530776.23</v>
      </c>
      <c r="U63" s="2">
        <f>2268996.34+30919.15</f>
        <v>2299915.4899999998</v>
      </c>
      <c r="V63" s="2">
        <v>497176.23</v>
      </c>
      <c r="W63" s="2">
        <f>2127960.81+48959.2</f>
        <v>2176920.0100000002</v>
      </c>
      <c r="X63" s="2">
        <v>955493.93</v>
      </c>
      <c r="Y63" s="2">
        <v>2219644.2799999998</v>
      </c>
      <c r="Z63" s="2">
        <f>782752.86</f>
        <v>782752.86</v>
      </c>
      <c r="AA63" s="16">
        <f>25455.33+3676740.99</f>
        <v>3702196.3200000003</v>
      </c>
      <c r="AB63" s="16">
        <v>370926</v>
      </c>
      <c r="AC63" s="16">
        <f>25119.87+10218497.79</f>
        <v>10243617.659999998</v>
      </c>
      <c r="AD63" s="16">
        <v>3812324.48</v>
      </c>
      <c r="AE63" s="23">
        <f>92866+7505896.09</f>
        <v>7598762.0899999999</v>
      </c>
      <c r="AF63" s="23">
        <v>1624721</v>
      </c>
      <c r="AG63" s="23">
        <v>1546341.78</v>
      </c>
      <c r="AH63" s="13"/>
      <c r="AI63" s="16">
        <f>36469.87+5446750.25</f>
        <v>5483220.1200000001</v>
      </c>
      <c r="AJ63" s="33">
        <v>0</v>
      </c>
      <c r="AK63" s="16">
        <v>2700000</v>
      </c>
      <c r="AL63" s="16">
        <v>0</v>
      </c>
      <c r="AM63" s="16">
        <f>60557.08+6144575.73</f>
        <v>6205132.8100000005</v>
      </c>
      <c r="AN63" s="16"/>
      <c r="AO63" s="16">
        <v>2700000</v>
      </c>
      <c r="AP63" s="16"/>
      <c r="AQ63" s="24"/>
      <c r="AR63" s="24"/>
    </row>
    <row r="64" spans="1:44" x14ac:dyDescent="0.25">
      <c r="A64" s="109" t="s">
        <v>8</v>
      </c>
      <c r="B64" s="1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107414.79</v>
      </c>
      <c r="R64" s="2"/>
      <c r="S64" s="2"/>
      <c r="T64" s="2"/>
      <c r="U64" s="2"/>
      <c r="V64" s="2"/>
      <c r="W64" s="2"/>
      <c r="X64" s="2"/>
      <c r="Y64" s="2"/>
      <c r="Z64" s="2"/>
      <c r="AA64" s="16">
        <f>240366.78+3338386.23</f>
        <v>3578753.01</v>
      </c>
      <c r="AB64" s="16"/>
      <c r="AC64" s="16">
        <f>213303.85+3570475.36</f>
        <v>3783779.21</v>
      </c>
      <c r="AD64" s="16"/>
      <c r="AE64" s="23">
        <f>1048316.56+3892857.12</f>
        <v>4941173.68</v>
      </c>
      <c r="AF64" s="13"/>
      <c r="AG64" s="23"/>
      <c r="AH64" s="13"/>
      <c r="AI64" s="16">
        <f>1013379.37+4504888.09</f>
        <v>5518267.46</v>
      </c>
      <c r="AJ64" s="16"/>
      <c r="AK64" s="16"/>
      <c r="AL64" s="16"/>
      <c r="AM64" s="16">
        <f>1244594.04+5051631.95</f>
        <v>6296225.9900000002</v>
      </c>
      <c r="AN64" s="16"/>
      <c r="AO64" s="16"/>
      <c r="AP64" s="16"/>
      <c r="AQ64" s="24"/>
      <c r="AR64" s="24"/>
    </row>
    <row r="65" spans="1:44" x14ac:dyDescent="0.25">
      <c r="A65" s="109" t="s">
        <v>9</v>
      </c>
      <c r="B65" s="110"/>
      <c r="C65" s="2"/>
      <c r="D65" s="2"/>
      <c r="E65" s="2">
        <v>1463841.51</v>
      </c>
      <c r="F65" s="2"/>
      <c r="G65" s="2">
        <v>166700</v>
      </c>
      <c r="H65" s="2"/>
      <c r="I65" s="2"/>
      <c r="J65" s="2"/>
      <c r="K65" s="2"/>
      <c r="L65" s="2"/>
      <c r="M65" s="2"/>
      <c r="N65" s="2"/>
      <c r="O65" s="2">
        <v>27151.16</v>
      </c>
      <c r="P65" s="2"/>
      <c r="Q65" s="2">
        <v>78572.100000000006</v>
      </c>
      <c r="R65" s="2"/>
      <c r="S65" s="2"/>
      <c r="T65" s="2"/>
      <c r="U65" s="2"/>
      <c r="V65" s="2"/>
      <c r="W65" s="2"/>
      <c r="X65" s="2"/>
      <c r="Y65" s="2">
        <v>1439851.12</v>
      </c>
      <c r="Z65" s="2"/>
      <c r="AA65" s="16">
        <f>182858.49+1828141.64</f>
        <v>2011000.13</v>
      </c>
      <c r="AB65" s="16"/>
      <c r="AC65" s="16">
        <f>194574.38+2050743.86</f>
        <v>2245318.2400000002</v>
      </c>
      <c r="AD65" s="16"/>
      <c r="AE65" s="23">
        <f>763510.32+2959710.97+0.85</f>
        <v>3723222.14</v>
      </c>
      <c r="AF65" s="13"/>
      <c r="AG65" s="23">
        <f>317932.16+1222488.09</f>
        <v>1540420.25</v>
      </c>
      <c r="AH65" s="13"/>
      <c r="AI65" s="16">
        <f>840855.82+2166721.03</f>
        <v>3007576.8499999996</v>
      </c>
      <c r="AJ65" s="16"/>
      <c r="AK65" s="16"/>
      <c r="AL65" s="16"/>
      <c r="AM65" s="16">
        <f>452687.31+2230770.79</f>
        <v>2683458.1</v>
      </c>
      <c r="AN65" s="16"/>
      <c r="AO65" s="16"/>
      <c r="AP65" s="16"/>
      <c r="AQ65" s="24"/>
      <c r="AR65" s="24"/>
    </row>
    <row r="66" spans="1:44" x14ac:dyDescent="0.25">
      <c r="A66" s="109" t="s">
        <v>10</v>
      </c>
      <c r="B66" s="110"/>
      <c r="C66" s="2"/>
      <c r="D66" s="2"/>
      <c r="E66" s="2">
        <v>10156548.25</v>
      </c>
      <c r="F66" s="2">
        <v>8858996.9299999997</v>
      </c>
      <c r="G66" s="2">
        <f>317.3+10868571.22</f>
        <v>10868888.520000001</v>
      </c>
      <c r="H66" s="2">
        <f>10199734.22+317.3</f>
        <v>10200051.520000001</v>
      </c>
      <c r="I66" s="2">
        <f>317.3+9400193.22</f>
        <v>9400510.5200000014</v>
      </c>
      <c r="J66" s="2">
        <f>317.3+8729105.22</f>
        <v>8729422.5200000014</v>
      </c>
      <c r="K66" s="2">
        <f>317.3+8959341.22</f>
        <v>8959658.5200000014</v>
      </c>
      <c r="L66" s="2">
        <f>317.3+8959341.22</f>
        <v>8959658.5200000014</v>
      </c>
      <c r="M66" s="2">
        <v>9641398.0299999993</v>
      </c>
      <c r="N66" s="2">
        <v>9641398.0299999993</v>
      </c>
      <c r="O66" s="2">
        <f>9367894.06</f>
        <v>9367894.0600000005</v>
      </c>
      <c r="P66" s="2">
        <f>9367894.06</f>
        <v>9367894.0600000005</v>
      </c>
      <c r="Q66" s="2">
        <f>9367894.06</f>
        <v>9367894.0600000005</v>
      </c>
      <c r="R66" s="2">
        <v>9865070.0600000005</v>
      </c>
      <c r="S66" s="2">
        <v>10331413.810000001</v>
      </c>
      <c r="T66" s="2">
        <v>10331413.810000001</v>
      </c>
      <c r="U66" s="2">
        <v>9319334.8100000005</v>
      </c>
      <c r="V66" s="2">
        <v>9319334.8100000005</v>
      </c>
      <c r="W66" s="2">
        <f>9337671.09</f>
        <v>9337671.0899999999</v>
      </c>
      <c r="X66" s="2">
        <v>9337671.0899999999</v>
      </c>
      <c r="Y66" s="2">
        <v>11178667.26</v>
      </c>
      <c r="Z66" s="2">
        <v>10089361.619999999</v>
      </c>
      <c r="AA66" s="16">
        <f>41557.97+1353152.71</f>
        <v>1394710.68</v>
      </c>
      <c r="AB66" s="16"/>
      <c r="AC66" s="16">
        <f>79834.83+2444326.98</f>
        <v>2524161.81</v>
      </c>
      <c r="AD66" s="16">
        <v>1451371.96</v>
      </c>
      <c r="AE66" s="23">
        <f>15039+567180.92</f>
        <v>582219.92000000004</v>
      </c>
      <c r="AF66" s="13"/>
      <c r="AG66" s="23">
        <f>15039+562240</f>
        <v>577279</v>
      </c>
      <c r="AH66" s="13"/>
      <c r="AI66" s="16">
        <v>497002</v>
      </c>
      <c r="AJ66" s="16"/>
      <c r="AK66" s="16">
        <v>495074</v>
      </c>
      <c r="AL66" s="16"/>
      <c r="AM66" s="16">
        <v>6621.91</v>
      </c>
      <c r="AN66" s="16"/>
      <c r="AO66" s="16"/>
      <c r="AP66" s="16"/>
      <c r="AQ66" s="24"/>
      <c r="AR66" s="24"/>
    </row>
    <row r="67" spans="1:44" x14ac:dyDescent="0.25">
      <c r="A67" s="109" t="s">
        <v>16</v>
      </c>
      <c r="B67" s="1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31333.33</v>
      </c>
      <c r="P67" s="2"/>
      <c r="Q67" s="2">
        <v>31999.99</v>
      </c>
      <c r="R67" s="2"/>
      <c r="S67" s="2"/>
      <c r="T67" s="2"/>
      <c r="U67" s="2"/>
      <c r="V67" s="2"/>
      <c r="W67" s="2"/>
      <c r="X67" s="2"/>
      <c r="Y67" s="2">
        <v>134475.21</v>
      </c>
      <c r="Z67" s="2">
        <v>134475.21</v>
      </c>
      <c r="AA67" s="16">
        <v>747720.56</v>
      </c>
      <c r="AB67" s="16">
        <v>747720.56</v>
      </c>
      <c r="AC67" s="16">
        <v>1581975.05</v>
      </c>
      <c r="AD67" s="16">
        <v>1581975.05</v>
      </c>
      <c r="AE67" s="23">
        <v>4976546.17</v>
      </c>
      <c r="AF67" s="13"/>
      <c r="AG67" s="23">
        <v>4976546.17</v>
      </c>
      <c r="AH67" s="13"/>
      <c r="AI67" s="16">
        <v>1823168.82</v>
      </c>
      <c r="AJ67" s="16"/>
      <c r="AK67" s="16">
        <v>1823168.82</v>
      </c>
      <c r="AL67" s="16"/>
      <c r="AM67" s="16">
        <v>600.44000000000005</v>
      </c>
      <c r="AN67" s="16"/>
      <c r="AO67" s="16"/>
      <c r="AP67" s="16"/>
      <c r="AQ67" s="24"/>
      <c r="AR67" s="24"/>
    </row>
    <row r="68" spans="1:44" hidden="1" x14ac:dyDescent="0.25">
      <c r="A68" s="111" t="s">
        <v>4</v>
      </c>
      <c r="B68" s="112"/>
      <c r="C68" s="115">
        <v>654159.29</v>
      </c>
      <c r="D68" s="115">
        <f>SUM(D70:D74)</f>
        <v>0</v>
      </c>
      <c r="E68" s="115">
        <f t="shared" ref="E68:Z68" si="14">SUM(E70:E74)</f>
        <v>159427.71</v>
      </c>
      <c r="F68" s="115">
        <f t="shared" si="14"/>
        <v>156150</v>
      </c>
      <c r="G68" s="115">
        <f t="shared" si="14"/>
        <v>166323.26</v>
      </c>
      <c r="H68" s="115">
        <f t="shared" si="14"/>
        <v>156150</v>
      </c>
      <c r="I68" s="115">
        <f t="shared" si="14"/>
        <v>158187.54</v>
      </c>
      <c r="J68" s="115">
        <f t="shared" si="14"/>
        <v>156150</v>
      </c>
      <c r="K68" s="115">
        <f t="shared" si="14"/>
        <v>157389.10999999999</v>
      </c>
      <c r="L68" s="115">
        <f t="shared" si="14"/>
        <v>156150</v>
      </c>
      <c r="M68" s="115">
        <f t="shared" si="14"/>
        <v>162310.56</v>
      </c>
      <c r="N68" s="115">
        <f t="shared" si="14"/>
        <v>156150</v>
      </c>
      <c r="O68" s="115">
        <f t="shared" si="14"/>
        <v>158206.72</v>
      </c>
      <c r="P68" s="115">
        <f t="shared" si="14"/>
        <v>156150</v>
      </c>
      <c r="Q68" s="115">
        <f t="shared" si="14"/>
        <v>162910.32999999999</v>
      </c>
      <c r="R68" s="115">
        <f t="shared" si="14"/>
        <v>156150</v>
      </c>
      <c r="S68" s="115">
        <f t="shared" si="14"/>
        <v>159608.60999999999</v>
      </c>
      <c r="T68" s="115">
        <f t="shared" si="14"/>
        <v>156150</v>
      </c>
      <c r="U68" s="115">
        <f t="shared" si="14"/>
        <v>157986.35</v>
      </c>
      <c r="V68" s="115">
        <f t="shared" si="14"/>
        <v>156150</v>
      </c>
      <c r="W68" s="115">
        <f t="shared" si="14"/>
        <v>159926.9</v>
      </c>
      <c r="X68" s="115">
        <f t="shared" si="14"/>
        <v>156150</v>
      </c>
      <c r="Y68" s="115">
        <f t="shared" si="14"/>
        <v>0</v>
      </c>
      <c r="Z68" s="115">
        <f t="shared" si="14"/>
        <v>0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129">
        <f>Y68/E68-1</f>
        <v>-1</v>
      </c>
      <c r="AR68" s="129">
        <f>Z68/F68-1</f>
        <v>-1</v>
      </c>
    </row>
    <row r="69" spans="1:44" hidden="1" x14ac:dyDescent="0.25">
      <c r="A69" s="113"/>
      <c r="B69" s="11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130"/>
      <c r="AR69" s="130"/>
    </row>
    <row r="70" spans="1:44" hidden="1" x14ac:dyDescent="0.25">
      <c r="A70" s="109" t="s">
        <v>11</v>
      </c>
      <c r="B70" s="110"/>
      <c r="C70" s="2"/>
      <c r="D70" s="2"/>
      <c r="E70" s="2">
        <v>2936.71</v>
      </c>
      <c r="F70" s="2"/>
      <c r="G70" s="2">
        <v>10173.26</v>
      </c>
      <c r="H70" s="2"/>
      <c r="I70" s="2">
        <v>2037.54</v>
      </c>
      <c r="J70" s="2"/>
      <c r="K70" s="2">
        <v>1239.1099999999999</v>
      </c>
      <c r="L70" s="2"/>
      <c r="M70" s="2">
        <v>6160.56</v>
      </c>
      <c r="N70" s="2"/>
      <c r="O70" s="2">
        <v>2056.7199999999998</v>
      </c>
      <c r="P70" s="2"/>
      <c r="Q70" s="2">
        <v>4968.33</v>
      </c>
      <c r="R70" s="2"/>
      <c r="S70" s="2">
        <v>3458.61</v>
      </c>
      <c r="T70" s="2"/>
      <c r="U70" s="2">
        <v>1836.35</v>
      </c>
      <c r="V70" s="2"/>
      <c r="W70" s="2">
        <v>3776.9</v>
      </c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idden="1" x14ac:dyDescent="0.25">
      <c r="A71" s="109" t="s">
        <v>8</v>
      </c>
      <c r="B71" s="1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1"/>
      <c r="AR71" s="31"/>
    </row>
    <row r="72" spans="1:44" hidden="1" x14ac:dyDescent="0.25">
      <c r="A72" s="109" t="s">
        <v>9</v>
      </c>
      <c r="B72" s="110"/>
      <c r="C72" s="2"/>
      <c r="D72" s="2"/>
      <c r="E72" s="2">
        <v>-10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1"/>
      <c r="AR72" s="31"/>
    </row>
    <row r="73" spans="1:44" hidden="1" x14ac:dyDescent="0.25">
      <c r="A73" s="109" t="s">
        <v>10</v>
      </c>
      <c r="B73" s="110"/>
      <c r="C73" s="2"/>
      <c r="D73" s="2"/>
      <c r="E73" s="2">
        <v>351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1792</v>
      </c>
      <c r="R73" s="2"/>
      <c r="S73" s="2"/>
      <c r="T73" s="2"/>
      <c r="U73" s="2"/>
      <c r="V73" s="2"/>
      <c r="W73" s="2"/>
      <c r="X73" s="2"/>
      <c r="Y73" s="2"/>
      <c r="Z73" s="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1"/>
      <c r="AR73" s="31"/>
    </row>
    <row r="74" spans="1:44" hidden="1" x14ac:dyDescent="0.25">
      <c r="A74" s="109" t="s">
        <v>16</v>
      </c>
      <c r="B74" s="110"/>
      <c r="C74" s="2"/>
      <c r="D74" s="2"/>
      <c r="E74" s="2">
        <v>156150</v>
      </c>
      <c r="F74" s="2">
        <v>156150</v>
      </c>
      <c r="G74" s="2">
        <v>156150</v>
      </c>
      <c r="H74" s="2">
        <v>156150</v>
      </c>
      <c r="I74" s="2">
        <v>156150</v>
      </c>
      <c r="J74" s="2">
        <v>156150</v>
      </c>
      <c r="K74" s="2">
        <v>156150</v>
      </c>
      <c r="L74" s="2">
        <v>156150</v>
      </c>
      <c r="M74" s="2">
        <v>156150</v>
      </c>
      <c r="N74" s="2">
        <v>156150</v>
      </c>
      <c r="O74" s="2">
        <v>156150</v>
      </c>
      <c r="P74" s="2">
        <v>156150</v>
      </c>
      <c r="Q74" s="2">
        <v>156150</v>
      </c>
      <c r="R74" s="2">
        <v>156150</v>
      </c>
      <c r="S74" s="2">
        <v>156150</v>
      </c>
      <c r="T74" s="2">
        <v>156150</v>
      </c>
      <c r="U74" s="2">
        <v>156150</v>
      </c>
      <c r="V74" s="2">
        <v>156150</v>
      </c>
      <c r="W74" s="2">
        <v>156150</v>
      </c>
      <c r="X74" s="2">
        <v>156150</v>
      </c>
      <c r="Y74" s="2">
        <v>0</v>
      </c>
      <c r="Z74" s="2">
        <v>0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11" t="s">
        <v>18</v>
      </c>
      <c r="B75" s="112"/>
      <c r="C75" s="107">
        <v>10829169.880000001</v>
      </c>
      <c r="D75" s="107">
        <f>1640975.89+2975186.97+988391.8</f>
        <v>5604554.6600000001</v>
      </c>
      <c r="E75" s="107">
        <f>SUM(E77:E81)</f>
        <v>6197764.7700000005</v>
      </c>
      <c r="F75" s="107">
        <f>SUM(F77:F81)</f>
        <v>3749667.49</v>
      </c>
      <c r="G75" s="107">
        <f t="shared" ref="G75:AD75" si="15">SUM(G77:G81)</f>
        <v>6852948.2799999993</v>
      </c>
      <c r="H75" s="107">
        <f t="shared" si="15"/>
        <v>3749667.49</v>
      </c>
      <c r="I75" s="107">
        <f t="shared" si="15"/>
        <v>5929212.6499999994</v>
      </c>
      <c r="J75" s="107">
        <f t="shared" si="15"/>
        <v>2974471.0500000003</v>
      </c>
      <c r="K75" s="107">
        <f t="shared" si="15"/>
        <v>7559967.5599999996</v>
      </c>
      <c r="L75" s="107">
        <f t="shared" si="15"/>
        <v>2974471.0500000003</v>
      </c>
      <c r="M75" s="107">
        <f t="shared" si="15"/>
        <v>6930316.6799999997</v>
      </c>
      <c r="N75" s="107">
        <f t="shared" si="15"/>
        <v>4894294.6399999997</v>
      </c>
      <c r="O75" s="107">
        <f t="shared" si="15"/>
        <v>7219255.4799999995</v>
      </c>
      <c r="P75" s="107">
        <f t="shared" si="15"/>
        <v>4894294.6399999997</v>
      </c>
      <c r="Q75" s="107">
        <f t="shared" si="15"/>
        <v>9600917.8499999996</v>
      </c>
      <c r="R75" s="107">
        <f t="shared" si="15"/>
        <v>4651292.82</v>
      </c>
      <c r="S75" s="107">
        <f t="shared" si="15"/>
        <v>8525632.5199999996</v>
      </c>
      <c r="T75" s="107">
        <f t="shared" si="15"/>
        <v>4005766.16</v>
      </c>
      <c r="U75" s="107">
        <f t="shared" si="15"/>
        <v>10599393.380000001</v>
      </c>
      <c r="V75" s="107">
        <f t="shared" si="15"/>
        <v>1496363.55</v>
      </c>
      <c r="W75" s="107">
        <f t="shared" si="15"/>
        <v>20377243.73</v>
      </c>
      <c r="X75" s="107">
        <f t="shared" si="15"/>
        <v>1496363.55</v>
      </c>
      <c r="Y75" s="107">
        <f t="shared" si="15"/>
        <v>20412653.610000003</v>
      </c>
      <c r="Z75" s="107">
        <f t="shared" si="15"/>
        <v>13308419.82</v>
      </c>
      <c r="AA75" s="124">
        <f t="shared" si="15"/>
        <v>54055934.440000005</v>
      </c>
      <c r="AB75" s="124">
        <f t="shared" si="15"/>
        <v>17697811.539999999</v>
      </c>
      <c r="AC75" s="124">
        <f t="shared" si="15"/>
        <v>61418098.109999999</v>
      </c>
      <c r="AD75" s="124">
        <f t="shared" si="15"/>
        <v>39172056.890000001</v>
      </c>
      <c r="AE75" s="118">
        <f>AE77+AE78+AE79+AE80+AE81</f>
        <v>12238071.009999998</v>
      </c>
      <c r="AF75" s="118">
        <f>AF77+AF78+AF79+AF80+AF81</f>
        <v>4454905.63</v>
      </c>
      <c r="AG75" s="118">
        <f>AG77+AG78+AG79+AG80+AG81</f>
        <v>401041.57</v>
      </c>
      <c r="AH75" s="118">
        <f>AH77+AH78+AH79+AH80+AH81</f>
        <v>0</v>
      </c>
      <c r="AI75" s="120">
        <f>AI77+AI78+AI79+AI80+AI81</f>
        <v>75253.62</v>
      </c>
      <c r="AJ75" s="120">
        <v>0</v>
      </c>
      <c r="AK75" s="120">
        <v>0</v>
      </c>
      <c r="AL75" s="120">
        <v>0</v>
      </c>
      <c r="AM75" s="120">
        <f>AM77+AM78+AM79+AM80+AM81</f>
        <v>0</v>
      </c>
      <c r="AN75" s="120">
        <f>AN77+AN78+AN79+AN80+AN81</f>
        <v>0</v>
      </c>
      <c r="AO75" s="120">
        <f>AO77+AO78+AO79+AO80+AO81</f>
        <v>0</v>
      </c>
      <c r="AP75" s="120">
        <f>AP77+AP78+AP79+AP80+AP81</f>
        <v>0</v>
      </c>
      <c r="AQ75" s="116">
        <f>AM75/AI75-1</f>
        <v>-1</v>
      </c>
      <c r="AR75" s="116" t="e">
        <f>AO75/AK75-1</f>
        <v>#DIV/0!</v>
      </c>
    </row>
    <row r="76" spans="1:44" x14ac:dyDescent="0.25">
      <c r="A76" s="113"/>
      <c r="B76" s="11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25"/>
      <c r="AB76" s="125"/>
      <c r="AC76" s="125"/>
      <c r="AD76" s="125"/>
      <c r="AE76" s="119"/>
      <c r="AF76" s="119"/>
      <c r="AG76" s="119"/>
      <c r="AH76" s="119"/>
      <c r="AI76" s="121"/>
      <c r="AJ76" s="121"/>
      <c r="AK76" s="121"/>
      <c r="AL76" s="121"/>
      <c r="AM76" s="121"/>
      <c r="AN76" s="121"/>
      <c r="AO76" s="121"/>
      <c r="AP76" s="121"/>
      <c r="AQ76" s="117"/>
      <c r="AR76" s="117"/>
    </row>
    <row r="77" spans="1:44" x14ac:dyDescent="0.25">
      <c r="A77" s="109" t="s">
        <v>11</v>
      </c>
      <c r="B77" s="110"/>
      <c r="C77" s="1"/>
      <c r="D77" s="1"/>
      <c r="E77" s="1">
        <v>6195284.0800000001</v>
      </c>
      <c r="F77" s="1">
        <f>3363056.56+386610.93</f>
        <v>3749667.49</v>
      </c>
      <c r="G77" s="1">
        <f>2263909.36+4559378.25</f>
        <v>6823287.6099999994</v>
      </c>
      <c r="H77" s="1">
        <f>386610.93+3363056.56</f>
        <v>3749667.49</v>
      </c>
      <c r="I77" s="1">
        <f>1799893.76+4099496.79</f>
        <v>5899390.5499999998</v>
      </c>
      <c r="J77" s="1">
        <f>386610.93+2587860.12</f>
        <v>2974471.0500000003</v>
      </c>
      <c r="K77" s="1">
        <f>5416106.16+2141154.26+1386.18+1320.96</f>
        <v>7559967.5599999996</v>
      </c>
      <c r="L77" s="1">
        <f>2587860.12+386610.93</f>
        <v>2974471.0500000003</v>
      </c>
      <c r="M77" s="1">
        <v>6930316.6799999997</v>
      </c>
      <c r="N77" s="1">
        <v>4894294.6399999997</v>
      </c>
      <c r="O77" s="1">
        <f>1865798.47+5348998.75</f>
        <v>7214797.2199999997</v>
      </c>
      <c r="P77" s="1">
        <f>386610.93+4507683.71</f>
        <v>4894294.6399999997</v>
      </c>
      <c r="Q77" s="1">
        <v>9600917.8499999996</v>
      </c>
      <c r="R77" s="1">
        <v>4651292.82</v>
      </c>
      <c r="S77" s="1">
        <f>2951333.92+5555295.68+15251.76+3751.16</f>
        <v>8525632.5199999996</v>
      </c>
      <c r="T77" s="1">
        <f>3619155.23+386610.93</f>
        <v>4005766.16</v>
      </c>
      <c r="U77" s="1">
        <f>1992205.58+8591549.02+5323.15+10315.63</f>
        <v>10599393.380000001</v>
      </c>
      <c r="V77" s="1">
        <f>1109752.62+386610.93</f>
        <v>1496363.55</v>
      </c>
      <c r="W77" s="1">
        <f>10545735.23+9823125.67+3422.46+4960.37</f>
        <v>20377243.73</v>
      </c>
      <c r="X77" s="1">
        <f>386610.93+1109752.62</f>
        <v>1496363.55</v>
      </c>
      <c r="Y77" s="1">
        <v>20441640.960000001</v>
      </c>
      <c r="Z77" s="1">
        <v>13308419.82</v>
      </c>
      <c r="AA77" s="19">
        <f>33166250.55+116.03+20185020.65+10333.24-153588.27</f>
        <v>53208132.200000003</v>
      </c>
      <c r="AB77" s="19">
        <f>17535000.48+162811.06-153588.27</f>
        <v>17544223.27</v>
      </c>
      <c r="AC77" s="19">
        <f>44014737.97+19482.3+16465957.71</f>
        <v>60500177.979999997</v>
      </c>
      <c r="AD77" s="19">
        <f>29503554.98+9668501.91</f>
        <v>39172056.890000001</v>
      </c>
      <c r="AE77" s="28">
        <v>11770839.189999999</v>
      </c>
      <c r="AF77" s="28">
        <v>4454905.63</v>
      </c>
      <c r="AG77" s="28">
        <v>401041.57</v>
      </c>
      <c r="AH77" s="12"/>
      <c r="AI77" s="19">
        <v>75253.62</v>
      </c>
      <c r="AJ77" s="19">
        <v>0</v>
      </c>
      <c r="AK77" s="19">
        <v>0</v>
      </c>
      <c r="AL77" s="19"/>
      <c r="AM77" s="19"/>
      <c r="AN77" s="19"/>
      <c r="AO77" s="19"/>
      <c r="AP77" s="19"/>
      <c r="AQ77" s="34"/>
      <c r="AR77" s="34"/>
    </row>
    <row r="78" spans="1:44" x14ac:dyDescent="0.25">
      <c r="A78" s="109" t="s">
        <v>8</v>
      </c>
      <c r="B78" s="1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9">
        <f>174701.03+239873.77</f>
        <v>414574.8</v>
      </c>
      <c r="AB78" s="19"/>
      <c r="AC78" s="19">
        <f>340113.75+6309.58+298211.41</f>
        <v>644634.74</v>
      </c>
      <c r="AD78" s="19"/>
      <c r="AE78" s="28">
        <f>180975.63+90797+9669.95</f>
        <v>281442.58</v>
      </c>
      <c r="AF78" s="12"/>
      <c r="AG78" s="12"/>
      <c r="AH78" s="12"/>
      <c r="AI78" s="19"/>
      <c r="AJ78" s="19"/>
      <c r="AK78" s="19"/>
      <c r="AL78" s="19"/>
      <c r="AM78" s="19"/>
      <c r="AN78" s="19"/>
      <c r="AO78" s="19"/>
      <c r="AP78" s="19"/>
      <c r="AQ78" s="34"/>
      <c r="AR78" s="34"/>
    </row>
    <row r="79" spans="1:44" x14ac:dyDescent="0.25">
      <c r="A79" s="109" t="s">
        <v>9</v>
      </c>
      <c r="B79" s="110"/>
      <c r="C79" s="1"/>
      <c r="D79" s="1"/>
      <c r="E79" s="1"/>
      <c r="F79" s="1"/>
      <c r="G79" s="1">
        <v>-0.01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9">
        <v>150004.17000000001</v>
      </c>
      <c r="AB79" s="19"/>
      <c r="AC79" s="19">
        <f>218911.42+53273.97</f>
        <v>272185.39</v>
      </c>
      <c r="AD79" s="19"/>
      <c r="AE79" s="28">
        <v>185472.7</v>
      </c>
      <c r="AF79" s="12"/>
      <c r="AG79" s="12"/>
      <c r="AH79" s="12"/>
      <c r="AI79" s="19"/>
      <c r="AJ79" s="19"/>
      <c r="AK79" s="19"/>
      <c r="AL79" s="19"/>
      <c r="AM79" s="19"/>
      <c r="AN79" s="19"/>
      <c r="AO79" s="19"/>
      <c r="AP79" s="19"/>
      <c r="AQ79" s="34"/>
      <c r="AR79" s="34"/>
    </row>
    <row r="80" spans="1:44" x14ac:dyDescent="0.25">
      <c r="A80" s="109" t="s">
        <v>10</v>
      </c>
      <c r="B80" s="110"/>
      <c r="C80" s="1"/>
      <c r="D80" s="1"/>
      <c r="E80" s="1"/>
      <c r="F80" s="1"/>
      <c r="G80" s="1">
        <v>-67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v>-94199.79</v>
      </c>
      <c r="Z80" s="1"/>
      <c r="AA80" s="19">
        <f>129635</f>
        <v>129635</v>
      </c>
      <c r="AB80" s="19"/>
      <c r="AC80" s="19"/>
      <c r="AD80" s="19"/>
      <c r="AE80" s="28"/>
      <c r="AF80" s="12"/>
      <c r="AG80" s="12"/>
      <c r="AH80" s="12"/>
      <c r="AI80" s="19"/>
      <c r="AJ80" s="19"/>
      <c r="AK80" s="19"/>
      <c r="AL80" s="19"/>
      <c r="AM80" s="19"/>
      <c r="AN80" s="19"/>
      <c r="AO80" s="19"/>
      <c r="AP80" s="19"/>
      <c r="AQ80" s="34"/>
      <c r="AR80" s="34"/>
    </row>
    <row r="81" spans="1:44" x14ac:dyDescent="0.25">
      <c r="A81" s="109" t="s">
        <v>16</v>
      </c>
      <c r="B81" s="110"/>
      <c r="C81" s="1"/>
      <c r="D81" s="1"/>
      <c r="E81" s="1">
        <v>2480.69</v>
      </c>
      <c r="F81" s="1"/>
      <c r="G81" s="1">
        <f>10138.57+19589.11</f>
        <v>29727.68</v>
      </c>
      <c r="H81" s="1"/>
      <c r="I81" s="1">
        <f>14183.88+15638.22</f>
        <v>29822.1</v>
      </c>
      <c r="J81" s="1"/>
      <c r="K81" s="1"/>
      <c r="L81" s="1"/>
      <c r="M81" s="1"/>
      <c r="N81" s="1"/>
      <c r="O81" s="1">
        <v>4458.26</v>
      </c>
      <c r="P81" s="1"/>
      <c r="Q81" s="1"/>
      <c r="R81" s="1"/>
      <c r="S81" s="1"/>
      <c r="T81" s="1"/>
      <c r="U81" s="1"/>
      <c r="V81" s="1"/>
      <c r="W81" s="1"/>
      <c r="X81" s="1"/>
      <c r="Y81" s="1">
        <v>65212.44</v>
      </c>
      <c r="Z81" s="1"/>
      <c r="AA81" s="19">
        <v>153588.26999999999</v>
      </c>
      <c r="AB81" s="19">
        <v>153588.26999999999</v>
      </c>
      <c r="AC81" s="19">
        <v>1100</v>
      </c>
      <c r="AD81" s="19"/>
      <c r="AE81" s="28">
        <v>316.54000000000002</v>
      </c>
      <c r="AF81" s="12"/>
      <c r="AG81" s="12"/>
      <c r="AH81" s="12"/>
      <c r="AI81" s="19"/>
      <c r="AJ81" s="19"/>
      <c r="AK81" s="19"/>
      <c r="AL81" s="19"/>
      <c r="AM81" s="19"/>
      <c r="AN81" s="19"/>
      <c r="AO81" s="19"/>
      <c r="AP81" s="19"/>
      <c r="AQ81" s="34"/>
      <c r="AR81" s="34"/>
    </row>
    <row r="82" spans="1:44" x14ac:dyDescent="0.25">
      <c r="A82" s="111" t="s">
        <v>15</v>
      </c>
      <c r="B82" s="112"/>
      <c r="C82" s="115">
        <v>-1470.89</v>
      </c>
      <c r="D82" s="115">
        <f>SUM(D84:D88)</f>
        <v>0</v>
      </c>
      <c r="E82" s="115">
        <f t="shared" ref="E82:AB82" si="16">SUM(E84:E88)</f>
        <v>741.25</v>
      </c>
      <c r="F82" s="115">
        <f t="shared" si="16"/>
        <v>0</v>
      </c>
      <c r="G82" s="115">
        <f t="shared" si="16"/>
        <v>0</v>
      </c>
      <c r="H82" s="115">
        <f t="shared" si="16"/>
        <v>0</v>
      </c>
      <c r="I82" s="115">
        <f t="shared" si="16"/>
        <v>0</v>
      </c>
      <c r="J82" s="115">
        <f t="shared" si="16"/>
        <v>0</v>
      </c>
      <c r="K82" s="115">
        <f t="shared" si="16"/>
        <v>0</v>
      </c>
      <c r="L82" s="115">
        <f t="shared" si="16"/>
        <v>0</v>
      </c>
      <c r="M82" s="115">
        <f t="shared" si="16"/>
        <v>0</v>
      </c>
      <c r="N82" s="115">
        <f t="shared" si="16"/>
        <v>0</v>
      </c>
      <c r="O82" s="115">
        <f t="shared" si="16"/>
        <v>0</v>
      </c>
      <c r="P82" s="115">
        <f t="shared" si="16"/>
        <v>0</v>
      </c>
      <c r="Q82" s="115">
        <f t="shared" si="16"/>
        <v>0</v>
      </c>
      <c r="R82" s="115">
        <f t="shared" si="16"/>
        <v>0</v>
      </c>
      <c r="S82" s="115">
        <f t="shared" si="16"/>
        <v>0</v>
      </c>
      <c r="T82" s="115">
        <f t="shared" si="16"/>
        <v>0</v>
      </c>
      <c r="U82" s="115">
        <f t="shared" si="16"/>
        <v>0</v>
      </c>
      <c r="V82" s="115">
        <f t="shared" si="16"/>
        <v>0</v>
      </c>
      <c r="W82" s="115">
        <f t="shared" si="16"/>
        <v>0</v>
      </c>
      <c r="X82" s="115">
        <f t="shared" si="16"/>
        <v>0</v>
      </c>
      <c r="Y82" s="115">
        <f t="shared" si="16"/>
        <v>0</v>
      </c>
      <c r="Z82" s="115">
        <f t="shared" si="16"/>
        <v>0</v>
      </c>
      <c r="AA82" s="128">
        <f>AA84+AA85+AA86+AA87+AA88</f>
        <v>84248.31</v>
      </c>
      <c r="AB82" s="128">
        <f t="shared" si="16"/>
        <v>0</v>
      </c>
      <c r="AC82" s="128">
        <f>SUM(AC84:AC88)</f>
        <v>130082.92000000001</v>
      </c>
      <c r="AD82" s="128">
        <f>SUM(AD84:AD88)</f>
        <v>0</v>
      </c>
      <c r="AE82" s="126">
        <f t="shared" ref="AE82:AL82" si="17">AE84+AE85+AE86+AE87+AE88</f>
        <v>122664.07</v>
      </c>
      <c r="AF82" s="126">
        <f t="shared" si="17"/>
        <v>0</v>
      </c>
      <c r="AG82" s="126">
        <f t="shared" si="17"/>
        <v>0</v>
      </c>
      <c r="AH82" s="126">
        <f t="shared" si="17"/>
        <v>0</v>
      </c>
      <c r="AI82" s="122">
        <f t="shared" si="17"/>
        <v>45365.68</v>
      </c>
      <c r="AJ82" s="122">
        <f t="shared" si="17"/>
        <v>0</v>
      </c>
      <c r="AK82" s="122">
        <v>0</v>
      </c>
      <c r="AL82" s="122">
        <f t="shared" si="17"/>
        <v>0</v>
      </c>
      <c r="AM82" s="122">
        <f>AM84+AM85+AM86+AM87+AM88</f>
        <v>79062.86</v>
      </c>
      <c r="AN82" s="122">
        <f>AN84+AN85+AN86+AN87+AN88</f>
        <v>0</v>
      </c>
      <c r="AO82" s="122">
        <f>AO84+AO85+AO86+AO87+AO88</f>
        <v>0</v>
      </c>
      <c r="AP82" s="122">
        <f>AP84+AP85+AP86+AP87+AP88</f>
        <v>0</v>
      </c>
      <c r="AQ82" s="116">
        <f>AM82/AI82-1</f>
        <v>0.74279014444399372</v>
      </c>
      <c r="AR82" s="116" t="e">
        <f>AO82/AK82-1</f>
        <v>#DIV/0!</v>
      </c>
    </row>
    <row r="83" spans="1:44" x14ac:dyDescent="0.25">
      <c r="A83" s="113"/>
      <c r="B83" s="11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25"/>
      <c r="AB83" s="125"/>
      <c r="AC83" s="131"/>
      <c r="AD83" s="125"/>
      <c r="AE83" s="127"/>
      <c r="AF83" s="127"/>
      <c r="AG83" s="127"/>
      <c r="AH83" s="127"/>
      <c r="AI83" s="123"/>
      <c r="AJ83" s="123"/>
      <c r="AK83" s="123"/>
      <c r="AL83" s="123"/>
      <c r="AM83" s="123"/>
      <c r="AN83" s="123"/>
      <c r="AO83" s="123"/>
      <c r="AP83" s="123"/>
      <c r="AQ83" s="117"/>
      <c r="AR83" s="117"/>
    </row>
    <row r="84" spans="1:44" x14ac:dyDescent="0.25">
      <c r="A84" s="109" t="s">
        <v>11</v>
      </c>
      <c r="B84" s="110"/>
      <c r="C84" s="2"/>
      <c r="D84" s="2"/>
      <c r="E84" s="2">
        <v>741.25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6"/>
      <c r="AB84" s="16"/>
      <c r="AC84" s="16">
        <v>5034.4399999999996</v>
      </c>
      <c r="AD84" s="13"/>
      <c r="AE84" s="23">
        <v>354.61</v>
      </c>
      <c r="AF84" s="23"/>
      <c r="AG84" s="23"/>
      <c r="AH84" s="23"/>
      <c r="AI84" s="16"/>
      <c r="AJ84" s="16"/>
      <c r="AK84" s="16"/>
      <c r="AL84" s="16"/>
      <c r="AM84" s="16"/>
      <c r="AN84" s="16"/>
      <c r="AO84" s="16"/>
      <c r="AP84" s="16"/>
      <c r="AQ84" s="24"/>
      <c r="AR84" s="24"/>
    </row>
    <row r="85" spans="1:44" x14ac:dyDescent="0.25">
      <c r="A85" s="109" t="s">
        <v>8</v>
      </c>
      <c r="B85" s="110"/>
      <c r="C85" s="2"/>
      <c r="D85" s="2"/>
      <c r="E85" s="2">
        <v>0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6">
        <v>53091.66</v>
      </c>
      <c r="AB85" s="16"/>
      <c r="AC85" s="16">
        <v>81730</v>
      </c>
      <c r="AD85" s="13"/>
      <c r="AE85" s="23">
        <v>82376</v>
      </c>
      <c r="AF85" s="23"/>
      <c r="AG85" s="23"/>
      <c r="AH85" s="23"/>
      <c r="AI85" s="16">
        <v>28290.47</v>
      </c>
      <c r="AJ85" s="16"/>
      <c r="AK85" s="16"/>
      <c r="AL85" s="16"/>
      <c r="AM85" s="16">
        <v>52670</v>
      </c>
      <c r="AN85" s="16"/>
      <c r="AO85" s="16"/>
      <c r="AP85" s="16"/>
      <c r="AQ85" s="24"/>
      <c r="AR85" s="24"/>
    </row>
    <row r="86" spans="1:44" x14ac:dyDescent="0.25">
      <c r="A86" s="109" t="s">
        <v>9</v>
      </c>
      <c r="B86" s="110"/>
      <c r="C86" s="2"/>
      <c r="D86" s="2"/>
      <c r="E86" s="2">
        <v>0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6">
        <v>31156.65</v>
      </c>
      <c r="AB86" s="16"/>
      <c r="AC86" s="16">
        <v>43318.48</v>
      </c>
      <c r="AD86" s="13"/>
      <c r="AE86" s="23">
        <v>39933.46</v>
      </c>
      <c r="AF86" s="23"/>
      <c r="AG86" s="23"/>
      <c r="AH86" s="23"/>
      <c r="AI86" s="16"/>
      <c r="AJ86" s="16"/>
      <c r="AK86" s="16"/>
      <c r="AL86" s="16"/>
      <c r="AM86" s="16"/>
      <c r="AN86" s="16"/>
      <c r="AO86" s="16"/>
      <c r="AP86" s="16"/>
      <c r="AQ86" s="24"/>
      <c r="AR86" s="24"/>
    </row>
    <row r="87" spans="1:44" x14ac:dyDescent="0.25">
      <c r="A87" s="109" t="s">
        <v>10</v>
      </c>
      <c r="B87" s="11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6"/>
      <c r="AB87" s="23"/>
      <c r="AC87" s="13"/>
      <c r="AD87" s="13"/>
      <c r="AE87" s="13"/>
      <c r="AF87" s="13"/>
      <c r="AG87" s="13"/>
      <c r="AH87" s="13"/>
      <c r="AI87" s="16">
        <v>17075.21</v>
      </c>
      <c r="AJ87" s="16"/>
      <c r="AK87" s="16"/>
      <c r="AL87" s="16"/>
      <c r="AM87" s="16">
        <v>26392.86</v>
      </c>
      <c r="AN87" s="16"/>
      <c r="AO87" s="16"/>
      <c r="AP87" s="16"/>
      <c r="AQ87" s="24"/>
      <c r="AR87" s="24"/>
    </row>
    <row r="88" spans="1:44" x14ac:dyDescent="0.25">
      <c r="A88" s="109" t="s">
        <v>16</v>
      </c>
      <c r="B88" s="1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31"/>
      <c r="AR88" s="31"/>
    </row>
    <row r="89" spans="1:44" ht="60" hidden="1" x14ac:dyDescent="0.25">
      <c r="A89" s="7" t="s">
        <v>25</v>
      </c>
      <c r="B89" s="7"/>
      <c r="C89" s="9">
        <v>3090165.46</v>
      </c>
      <c r="D89" s="9">
        <v>3090165.46</v>
      </c>
      <c r="E89" s="9">
        <f>SUM(E90:E92)</f>
        <v>0</v>
      </c>
      <c r="F89" s="9">
        <f>SUM(F90:F92)</f>
        <v>0</v>
      </c>
      <c r="G89" s="9">
        <f t="shared" ref="G89:Z89" si="18">SUM(G90:G92)</f>
        <v>0</v>
      </c>
      <c r="H89" s="9">
        <f t="shared" si="18"/>
        <v>0</v>
      </c>
      <c r="I89" s="9">
        <f t="shared" si="18"/>
        <v>0</v>
      </c>
      <c r="J89" s="9">
        <f t="shared" si="18"/>
        <v>0</v>
      </c>
      <c r="K89" s="9">
        <f t="shared" si="18"/>
        <v>0</v>
      </c>
      <c r="L89" s="9">
        <f t="shared" si="18"/>
        <v>0</v>
      </c>
      <c r="M89" s="9">
        <f t="shared" si="18"/>
        <v>0</v>
      </c>
      <c r="N89" s="9">
        <f t="shared" si="18"/>
        <v>0</v>
      </c>
      <c r="O89" s="9">
        <f t="shared" si="18"/>
        <v>0</v>
      </c>
      <c r="P89" s="9">
        <f t="shared" si="18"/>
        <v>0</v>
      </c>
      <c r="Q89" s="9">
        <f t="shared" si="18"/>
        <v>0</v>
      </c>
      <c r="R89" s="9">
        <f t="shared" si="18"/>
        <v>0</v>
      </c>
      <c r="S89" s="9">
        <f t="shared" si="18"/>
        <v>0</v>
      </c>
      <c r="T89" s="9">
        <f t="shared" si="18"/>
        <v>0</v>
      </c>
      <c r="U89" s="9">
        <f t="shared" si="18"/>
        <v>0</v>
      </c>
      <c r="V89" s="9">
        <f t="shared" si="18"/>
        <v>0</v>
      </c>
      <c r="W89" s="9">
        <f t="shared" si="18"/>
        <v>0</v>
      </c>
      <c r="X89" s="9">
        <f t="shared" si="18"/>
        <v>0</v>
      </c>
      <c r="Y89" s="9">
        <f t="shared" si="18"/>
        <v>0</v>
      </c>
      <c r="Z89" s="9">
        <f t="shared" si="18"/>
        <v>0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129">
        <v>0</v>
      </c>
      <c r="AR89" s="129">
        <v>0</v>
      </c>
    </row>
    <row r="90" spans="1:44" hidden="1" x14ac:dyDescent="0.25">
      <c r="A90" s="109" t="s">
        <v>10</v>
      </c>
      <c r="B90" s="132"/>
      <c r="C90" s="2"/>
      <c r="D90" s="2"/>
      <c r="E90" s="2"/>
      <c r="F90" s="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3"/>
      <c r="AB90" s="13"/>
      <c r="AC90" s="13"/>
      <c r="AD90" s="13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130"/>
      <c r="AR90" s="130"/>
    </row>
    <row r="91" spans="1:44" ht="0.75" customHeight="1" x14ac:dyDescent="0.25">
      <c r="A91" s="133" t="s">
        <v>24</v>
      </c>
      <c r="B91" s="132"/>
      <c r="C91" s="9">
        <f>4008760.53+5844431.63+14283.75+179317.37</f>
        <v>10046793.279999999</v>
      </c>
      <c r="D91" s="9">
        <f>989699.04+1910943.77</f>
        <v>2900642.81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32"/>
      <c r="AR91" s="32"/>
    </row>
    <row r="92" spans="1:44" hidden="1" x14ac:dyDescent="0.25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31"/>
      <c r="AR92" s="31"/>
    </row>
    <row r="93" spans="1:44" x14ac:dyDescent="0.25">
      <c r="A93" s="133" t="s">
        <v>12</v>
      </c>
      <c r="B93" s="132"/>
      <c r="C93" s="10">
        <f>C8+C33+C40+C47+C54+C61+C68+C75+C82+C89+C91</f>
        <v>94587677.819999993</v>
      </c>
      <c r="D93" s="10">
        <f>D8+D33+D40+D47+D54+D61+D68+D75+D82+D89+D91</f>
        <v>68008770.719999999</v>
      </c>
      <c r="E93" s="10">
        <f>E8+E33+E40+E47+E54+E61+E68+E75+E82+E89</f>
        <v>85864729.75999999</v>
      </c>
      <c r="F93" s="10">
        <f>F8+F33+F40+F47+F54+F61+F68+F75+F82+F89</f>
        <v>66510808.209999993</v>
      </c>
      <c r="G93" s="10">
        <f t="shared" ref="G93:Y93" si="19">G8+G33+G40+G47+G54+G61+G68+G75+G82+G89</f>
        <v>93511066.090000018</v>
      </c>
      <c r="H93" s="10">
        <f t="shared" si="19"/>
        <v>66963948.660000004</v>
      </c>
      <c r="I93" s="10">
        <f t="shared" si="19"/>
        <v>92440148.88000001</v>
      </c>
      <c r="J93" s="10">
        <f t="shared" si="19"/>
        <v>69371696.100000009</v>
      </c>
      <c r="K93" s="10">
        <f t="shared" si="19"/>
        <v>93692017.959999993</v>
      </c>
      <c r="L93" s="10">
        <f t="shared" si="19"/>
        <v>72494645.030000001</v>
      </c>
      <c r="M93" s="10">
        <f t="shared" si="19"/>
        <v>95350288.340000004</v>
      </c>
      <c r="N93" s="10">
        <f t="shared" si="19"/>
        <v>74699098.340000004</v>
      </c>
      <c r="O93" s="10">
        <f t="shared" si="19"/>
        <v>92952938.269999996</v>
      </c>
      <c r="P93" s="10">
        <f t="shared" si="19"/>
        <v>82357876.220000014</v>
      </c>
      <c r="Q93" s="10">
        <f t="shared" si="19"/>
        <v>97449531.209999979</v>
      </c>
      <c r="R93" s="10">
        <f t="shared" si="19"/>
        <v>74441297.569999993</v>
      </c>
      <c r="S93" s="10">
        <f t="shared" si="19"/>
        <v>96755275.489999995</v>
      </c>
      <c r="T93" s="10">
        <f t="shared" si="19"/>
        <v>74719949.890000001</v>
      </c>
      <c r="U93" s="10">
        <f t="shared" si="19"/>
        <v>97352731.719999984</v>
      </c>
      <c r="V93" s="10">
        <f t="shared" si="19"/>
        <v>74918061.669999987</v>
      </c>
      <c r="W93" s="10">
        <f t="shared" si="19"/>
        <v>103431682.53</v>
      </c>
      <c r="X93" s="10">
        <f t="shared" si="19"/>
        <v>71550048.36999999</v>
      </c>
      <c r="Y93" s="10">
        <f t="shared" si="19"/>
        <v>139512827.16999999</v>
      </c>
      <c r="Z93" s="10">
        <f>Z8+Z33+Z40+Z47+Z54+Z61+Z68+Z75+Z82+Z89</f>
        <v>116277638.82999998</v>
      </c>
      <c r="AA93" s="20">
        <f>AA8+AA33+AA40+AA47+AA54+AA61+AA68+AA75+AA82+AA89</f>
        <v>136792938.08000001</v>
      </c>
      <c r="AB93" s="20">
        <f>AB8+AB33+AB40+AB47+AB54+AB61+AB68+AB75+AB82+AB89</f>
        <v>43344897.469999999</v>
      </c>
      <c r="AC93" s="20">
        <f>AC8+AC33+AC40+AC47+AC54+AC61+AC68+AC75+AC82+AC89</f>
        <v>211086618.58000001</v>
      </c>
      <c r="AD93" s="20">
        <f>AD8+AD33+AD40+AD47+AD54+AD61+AD68+AD75+AD82+AD89</f>
        <v>119975047.31999999</v>
      </c>
      <c r="AE93" s="10">
        <f t="shared" ref="AE93:AL93" si="20">AE8+AE33+AE40+AE47+AE54+AE61+AE75+AE82</f>
        <v>210062888.64999998</v>
      </c>
      <c r="AF93" s="10">
        <f t="shared" si="20"/>
        <v>99495187.609999999</v>
      </c>
      <c r="AG93" s="10">
        <f t="shared" si="20"/>
        <v>86313931.799999982</v>
      </c>
      <c r="AH93" s="10">
        <f t="shared" si="20"/>
        <v>23141374.309999999</v>
      </c>
      <c r="AI93" s="20">
        <f t="shared" si="20"/>
        <v>128946217.90000001</v>
      </c>
      <c r="AJ93" s="20">
        <f t="shared" si="20"/>
        <v>32163242.649999999</v>
      </c>
      <c r="AK93" s="20">
        <f t="shared" si="20"/>
        <v>14429840.109999999</v>
      </c>
      <c r="AL93" s="20">
        <f t="shared" si="20"/>
        <v>0</v>
      </c>
      <c r="AM93" s="65">
        <f>AM8+AM33+AM40+AM47+AM54+AM61+AM75+AM82+AM15+AM21+AM27</f>
        <v>102456164.49000001</v>
      </c>
      <c r="AN93" s="65">
        <f t="shared" ref="AN93:AP93" si="21">AN8+AN33+AN40+AN47+AN54+AN61+AN75+AN82+AN15+AN21+AN27</f>
        <v>29218451.84</v>
      </c>
      <c r="AO93" s="65">
        <f t="shared" si="21"/>
        <v>3352227.81</v>
      </c>
      <c r="AP93" s="65">
        <f t="shared" si="21"/>
        <v>0</v>
      </c>
      <c r="AQ93" s="35">
        <f>AM93/AI93-1</f>
        <v>-0.20543490023525535</v>
      </c>
      <c r="AR93" s="35">
        <f>AO93/AK93-1</f>
        <v>-0.76768780634811895</v>
      </c>
    </row>
    <row r="94" spans="1:44" x14ac:dyDescent="0.25">
      <c r="A94" s="109" t="s">
        <v>11</v>
      </c>
      <c r="B94" s="132"/>
      <c r="C94" s="2">
        <f t="shared" ref="C94:AD98" si="22">C10+C35+C42+C49+C56+C63+C70+C77+C84</f>
        <v>0</v>
      </c>
      <c r="D94" s="2">
        <f t="shared" si="22"/>
        <v>0</v>
      </c>
      <c r="E94" s="2">
        <f t="shared" si="22"/>
        <v>17953226.410000004</v>
      </c>
      <c r="F94" s="2">
        <f t="shared" si="22"/>
        <v>6382951.8399999943</v>
      </c>
      <c r="G94" s="2">
        <f t="shared" si="22"/>
        <v>19216097.170000002</v>
      </c>
      <c r="H94" s="2">
        <f t="shared" si="22"/>
        <v>6555841.7200000007</v>
      </c>
      <c r="I94" s="2">
        <f t="shared" si="22"/>
        <v>22865503.460000001</v>
      </c>
      <c r="J94" s="2">
        <f t="shared" si="22"/>
        <v>5864947.9199999999</v>
      </c>
      <c r="K94" s="2">
        <f t="shared" si="22"/>
        <v>17090632.079999998</v>
      </c>
      <c r="L94" s="2">
        <f t="shared" si="22"/>
        <v>5837825.0099999998</v>
      </c>
      <c r="M94" s="2">
        <f t="shared" si="22"/>
        <v>16099291.18</v>
      </c>
      <c r="N94" s="2">
        <f t="shared" si="22"/>
        <v>7784857.7199999997</v>
      </c>
      <c r="O94" s="2">
        <f t="shared" si="22"/>
        <v>16094244.300000001</v>
      </c>
      <c r="P94" s="2">
        <f t="shared" si="22"/>
        <v>7902977.2199999997</v>
      </c>
      <c r="Q94" s="2">
        <f t="shared" si="22"/>
        <v>20791692.359999999</v>
      </c>
      <c r="R94" s="2">
        <f t="shared" si="22"/>
        <v>7175180.9199999999</v>
      </c>
      <c r="S94" s="2">
        <f t="shared" si="22"/>
        <v>20070445.379999999</v>
      </c>
      <c r="T94" s="2">
        <f t="shared" si="22"/>
        <v>6987489.4900000002</v>
      </c>
      <c r="U94" s="2">
        <f t="shared" si="22"/>
        <v>24410984.270000003</v>
      </c>
      <c r="V94" s="2">
        <f t="shared" si="22"/>
        <v>4182653.4699999997</v>
      </c>
      <c r="W94" s="2">
        <f t="shared" si="22"/>
        <v>34358661.780000001</v>
      </c>
      <c r="X94" s="2">
        <f t="shared" si="22"/>
        <v>4756662.17</v>
      </c>
      <c r="Y94" s="2">
        <f t="shared" si="22"/>
        <v>37550191.880000003</v>
      </c>
      <c r="Z94" s="2">
        <f t="shared" si="22"/>
        <v>19969076.690000001</v>
      </c>
      <c r="AA94" s="16">
        <f t="shared" si="22"/>
        <v>78679277.219999999</v>
      </c>
      <c r="AB94" s="16">
        <f t="shared" si="22"/>
        <v>28544503.479999997</v>
      </c>
      <c r="AC94" s="16">
        <f t="shared" si="22"/>
        <v>97897786.019999981</v>
      </c>
      <c r="AD94" s="16">
        <f t="shared" si="22"/>
        <v>50095879.390000001</v>
      </c>
      <c r="AE94" s="23">
        <f t="shared" ref="AE94:AL98" si="23">AE10+AE35+AE42+AE49+AE56+AE63+AE77+AE84</f>
        <v>108565286.30999999</v>
      </c>
      <c r="AF94" s="23">
        <f t="shared" si="23"/>
        <v>66674832.540000007</v>
      </c>
      <c r="AG94" s="23">
        <f t="shared" si="23"/>
        <v>32847516.43</v>
      </c>
      <c r="AH94" s="23">
        <f t="shared" si="23"/>
        <v>21260780.43</v>
      </c>
      <c r="AI94" s="16">
        <f t="shared" si="23"/>
        <v>59026929.369999997</v>
      </c>
      <c r="AJ94" s="16">
        <f t="shared" si="23"/>
        <v>219982.55</v>
      </c>
      <c r="AK94" s="16">
        <f t="shared" si="23"/>
        <v>3777110.1399999997</v>
      </c>
      <c r="AL94" s="16">
        <f t="shared" si="23"/>
        <v>0</v>
      </c>
      <c r="AM94" s="16">
        <f>AM10+AM35+AM42+AM49+AM56+AM63+AM77+AM84+AM16+AM22+AM28</f>
        <v>52834105.699999996</v>
      </c>
      <c r="AN94" s="16">
        <f t="shared" ref="AN94:AP98" si="24">AN10+AN35+AN42+AN49+AN56+AN63+AN77+AN84+AN16+AN22+AN28</f>
        <v>5648989.4199999999</v>
      </c>
      <c r="AO94" s="16">
        <f t="shared" si="24"/>
        <v>2920343.81</v>
      </c>
      <c r="AP94" s="16">
        <f t="shared" si="24"/>
        <v>0</v>
      </c>
      <c r="AQ94" s="36"/>
      <c r="AR94" s="36"/>
    </row>
    <row r="95" spans="1:44" x14ac:dyDescent="0.25">
      <c r="A95" s="109" t="s">
        <v>8</v>
      </c>
      <c r="B95" s="132"/>
      <c r="C95" s="2">
        <f t="shared" si="22"/>
        <v>0</v>
      </c>
      <c r="D95" s="2">
        <f t="shared" si="22"/>
        <v>0</v>
      </c>
      <c r="E95" s="2">
        <f t="shared" si="22"/>
        <v>0</v>
      </c>
      <c r="F95" s="2">
        <f t="shared" si="22"/>
        <v>0</v>
      </c>
      <c r="G95" s="2">
        <f t="shared" si="22"/>
        <v>1611249.67</v>
      </c>
      <c r="H95" s="2">
        <f t="shared" si="22"/>
        <v>0</v>
      </c>
      <c r="I95" s="2">
        <f t="shared" si="22"/>
        <v>1404831.87</v>
      </c>
      <c r="J95" s="2">
        <f t="shared" si="22"/>
        <v>0</v>
      </c>
      <c r="K95" s="2">
        <f t="shared" si="22"/>
        <v>2089553.3599999999</v>
      </c>
      <c r="L95" s="2">
        <f t="shared" si="22"/>
        <v>0</v>
      </c>
      <c r="M95" s="2">
        <f t="shared" si="22"/>
        <v>1291836.76</v>
      </c>
      <c r="N95" s="2">
        <f t="shared" si="22"/>
        <v>0</v>
      </c>
      <c r="O95" s="2">
        <f t="shared" si="22"/>
        <v>1343049.24</v>
      </c>
      <c r="P95" s="2">
        <f t="shared" si="22"/>
        <v>0</v>
      </c>
      <c r="Q95" s="2">
        <f t="shared" si="22"/>
        <v>1452525.99</v>
      </c>
      <c r="R95" s="2">
        <f t="shared" si="22"/>
        <v>0</v>
      </c>
      <c r="S95" s="2">
        <f t="shared" si="22"/>
        <v>1242140.78</v>
      </c>
      <c r="T95" s="2">
        <f t="shared" si="22"/>
        <v>0</v>
      </c>
      <c r="U95" s="2">
        <f t="shared" si="22"/>
        <v>1196585.6499999999</v>
      </c>
      <c r="V95" s="2">
        <f t="shared" si="22"/>
        <v>0</v>
      </c>
      <c r="W95" s="2">
        <f t="shared" si="22"/>
        <v>1283435.7</v>
      </c>
      <c r="X95" s="2">
        <f t="shared" si="22"/>
        <v>0</v>
      </c>
      <c r="Y95" s="2">
        <f t="shared" si="22"/>
        <v>0</v>
      </c>
      <c r="Z95" s="2">
        <f t="shared" si="22"/>
        <v>0</v>
      </c>
      <c r="AA95" s="16">
        <f t="shared" si="22"/>
        <v>28007459.789999999</v>
      </c>
      <c r="AB95" s="16">
        <f t="shared" si="22"/>
        <v>0</v>
      </c>
      <c r="AC95" s="16">
        <f t="shared" si="22"/>
        <v>33425614.419999998</v>
      </c>
      <c r="AD95" s="16">
        <f t="shared" si="22"/>
        <v>0</v>
      </c>
      <c r="AE95" s="23">
        <f t="shared" si="23"/>
        <v>33462185.5</v>
      </c>
      <c r="AF95" s="23">
        <f t="shared" si="23"/>
        <v>18386199.240000002</v>
      </c>
      <c r="AG95" s="23">
        <f t="shared" si="23"/>
        <v>0</v>
      </c>
      <c r="AH95" s="23">
        <f t="shared" si="23"/>
        <v>0</v>
      </c>
      <c r="AI95" s="16">
        <f t="shared" si="23"/>
        <v>36363970.560000002</v>
      </c>
      <c r="AJ95" s="16">
        <f t="shared" si="23"/>
        <v>19065790.949999999</v>
      </c>
      <c r="AK95" s="16">
        <f t="shared" si="23"/>
        <v>0</v>
      </c>
      <c r="AL95" s="16">
        <f t="shared" si="23"/>
        <v>0</v>
      </c>
      <c r="AM95" s="16">
        <f>AM11+AM36+AM43+AM50+AM57+AM64+AM78+AM85+AM17+AM23+AM29</f>
        <v>37058511.570000008</v>
      </c>
      <c r="AN95" s="16">
        <f t="shared" si="24"/>
        <v>20488411.899999999</v>
      </c>
      <c r="AO95" s="16">
        <f t="shared" si="24"/>
        <v>0</v>
      </c>
      <c r="AP95" s="16">
        <f t="shared" si="24"/>
        <v>0</v>
      </c>
      <c r="AQ95" s="37"/>
      <c r="AR95" s="37"/>
    </row>
    <row r="96" spans="1:44" x14ac:dyDescent="0.25">
      <c r="A96" s="109" t="s">
        <v>9</v>
      </c>
      <c r="B96" s="132"/>
      <c r="C96" s="2">
        <f t="shared" si="22"/>
        <v>0</v>
      </c>
      <c r="D96" s="2">
        <f t="shared" si="22"/>
        <v>0</v>
      </c>
      <c r="E96" s="2">
        <f t="shared" si="22"/>
        <v>5781112.8999999994</v>
      </c>
      <c r="F96" s="2">
        <f t="shared" si="22"/>
        <v>0</v>
      </c>
      <c r="G96" s="2">
        <f t="shared" si="22"/>
        <v>841993.46</v>
      </c>
      <c r="H96" s="2">
        <f t="shared" si="22"/>
        <v>0</v>
      </c>
      <c r="I96" s="2">
        <f t="shared" si="22"/>
        <v>730672.66</v>
      </c>
      <c r="J96" s="2">
        <f t="shared" si="22"/>
        <v>0</v>
      </c>
      <c r="K96" s="2">
        <f t="shared" si="22"/>
        <v>907890.05999999994</v>
      </c>
      <c r="L96" s="2">
        <f t="shared" si="22"/>
        <v>0</v>
      </c>
      <c r="M96" s="2">
        <f t="shared" si="22"/>
        <v>596611.02</v>
      </c>
      <c r="N96" s="2">
        <f t="shared" si="22"/>
        <v>0</v>
      </c>
      <c r="O96" s="2">
        <f t="shared" si="22"/>
        <v>806056.14</v>
      </c>
      <c r="P96" s="2">
        <f t="shared" si="22"/>
        <v>0</v>
      </c>
      <c r="Q96" s="2">
        <f t="shared" si="22"/>
        <v>910579.46000000008</v>
      </c>
      <c r="R96" s="2">
        <f t="shared" si="22"/>
        <v>0</v>
      </c>
      <c r="S96" s="2">
        <f t="shared" si="22"/>
        <v>832315.84</v>
      </c>
      <c r="T96" s="2">
        <f t="shared" si="22"/>
        <v>0</v>
      </c>
      <c r="U96" s="2">
        <f t="shared" si="22"/>
        <v>786043.03</v>
      </c>
      <c r="V96" s="2">
        <f t="shared" si="22"/>
        <v>0</v>
      </c>
      <c r="W96" s="2">
        <f t="shared" si="22"/>
        <v>782576.37000000011</v>
      </c>
      <c r="X96" s="2">
        <f t="shared" si="22"/>
        <v>0</v>
      </c>
      <c r="Y96" s="2">
        <f t="shared" si="22"/>
        <v>4770499.5100000007</v>
      </c>
      <c r="Z96" s="2">
        <f t="shared" si="22"/>
        <v>0</v>
      </c>
      <c r="AA96" s="16">
        <f t="shared" si="22"/>
        <v>11517101.640000001</v>
      </c>
      <c r="AB96" s="16">
        <f t="shared" si="22"/>
        <v>0</v>
      </c>
      <c r="AC96" s="16">
        <f t="shared" si="22"/>
        <v>17564868.849999998</v>
      </c>
      <c r="AD96" s="16">
        <f t="shared" si="22"/>
        <v>11291466.59</v>
      </c>
      <c r="AE96" s="23">
        <f t="shared" si="23"/>
        <v>25972037.23</v>
      </c>
      <c r="AF96" s="23">
        <f t="shared" si="23"/>
        <v>12978010.970000001</v>
      </c>
      <c r="AG96" s="23">
        <f t="shared" si="23"/>
        <v>14772077.07</v>
      </c>
      <c r="AH96" s="23">
        <f t="shared" si="23"/>
        <v>1220473.1199999999</v>
      </c>
      <c r="AI96" s="16">
        <f t="shared" si="23"/>
        <v>19092310.379999999</v>
      </c>
      <c r="AJ96" s="16">
        <f t="shared" si="23"/>
        <v>9924703.2199999988</v>
      </c>
      <c r="AK96" s="16">
        <f t="shared" si="23"/>
        <v>0</v>
      </c>
      <c r="AL96" s="16">
        <f t="shared" si="23"/>
        <v>0</v>
      </c>
      <c r="AM96" s="16">
        <f>AM12+AM37+AM44+AM51+AM58+AM65+AM79+AM86+AM18+AM24+AM30</f>
        <v>8268788.1899999995</v>
      </c>
      <c r="AN96" s="16">
        <f t="shared" si="24"/>
        <v>2299005.41</v>
      </c>
      <c r="AO96" s="16">
        <f t="shared" si="24"/>
        <v>0</v>
      </c>
      <c r="AP96" s="16">
        <f t="shared" si="24"/>
        <v>0</v>
      </c>
      <c r="AQ96" s="37"/>
      <c r="AR96" s="37"/>
    </row>
    <row r="97" spans="1:44" x14ac:dyDescent="0.25">
      <c r="A97" s="109" t="s">
        <v>10</v>
      </c>
      <c r="B97" s="132"/>
      <c r="C97" s="2">
        <f t="shared" ref="C97:Z97" si="25">C13+C38+C45+C52+C59+C66+C73+C80+C87+C90</f>
        <v>0</v>
      </c>
      <c r="D97" s="2">
        <f t="shared" si="25"/>
        <v>0</v>
      </c>
      <c r="E97" s="2">
        <f t="shared" si="25"/>
        <v>60461371.310000002</v>
      </c>
      <c r="F97" s="2">
        <f t="shared" si="25"/>
        <v>58245420.57</v>
      </c>
      <c r="G97" s="2">
        <f t="shared" si="25"/>
        <v>69929562.310000002</v>
      </c>
      <c r="H97" s="2">
        <f t="shared" si="25"/>
        <v>58525671.140000001</v>
      </c>
      <c r="I97" s="2">
        <f t="shared" si="25"/>
        <v>65526882.990000002</v>
      </c>
      <c r="J97" s="2">
        <f t="shared" si="25"/>
        <v>61624312.380000003</v>
      </c>
      <c r="K97" s="2">
        <f t="shared" si="25"/>
        <v>71721506.659999996</v>
      </c>
      <c r="L97" s="2">
        <f t="shared" si="25"/>
        <v>64774384.220000006</v>
      </c>
      <c r="M97" s="2">
        <f t="shared" si="25"/>
        <v>75480113.579999998</v>
      </c>
      <c r="N97" s="2">
        <f t="shared" si="25"/>
        <v>65031804.82</v>
      </c>
      <c r="O97" s="2">
        <f t="shared" si="25"/>
        <v>72791361.200000003</v>
      </c>
      <c r="P97" s="2">
        <f t="shared" si="25"/>
        <v>72572463.200000003</v>
      </c>
      <c r="Q97" s="2">
        <f t="shared" si="25"/>
        <v>72380297.609999999</v>
      </c>
      <c r="R97" s="2">
        <f t="shared" si="25"/>
        <v>65383680.850000001</v>
      </c>
      <c r="S97" s="2">
        <f t="shared" si="25"/>
        <v>72695876.399999991</v>
      </c>
      <c r="T97" s="2">
        <f t="shared" si="25"/>
        <v>65850024.600000001</v>
      </c>
      <c r="U97" s="2">
        <f t="shared" si="25"/>
        <v>69041659.049999997</v>
      </c>
      <c r="V97" s="2">
        <f t="shared" si="25"/>
        <v>68852972.399999991</v>
      </c>
      <c r="W97" s="2">
        <f t="shared" si="25"/>
        <v>65102023.400000006</v>
      </c>
      <c r="X97" s="2">
        <f t="shared" si="25"/>
        <v>64910950.400000006</v>
      </c>
      <c r="Y97" s="2">
        <f t="shared" si="25"/>
        <v>66208215.299999997</v>
      </c>
      <c r="Z97" s="2">
        <f t="shared" si="25"/>
        <v>65394874.099999994</v>
      </c>
      <c r="AA97" s="16">
        <f t="shared" si="22"/>
        <v>14182522.93</v>
      </c>
      <c r="AB97" s="16">
        <f t="shared" si="22"/>
        <v>12430432.640000001</v>
      </c>
      <c r="AC97" s="16">
        <f t="shared" si="22"/>
        <v>21845555.419999998</v>
      </c>
      <c r="AD97" s="16">
        <f t="shared" si="22"/>
        <v>20453326.48</v>
      </c>
      <c r="AE97" s="23">
        <f t="shared" si="23"/>
        <v>8512543.2200000007</v>
      </c>
      <c r="AF97" s="23">
        <f t="shared" si="23"/>
        <v>93556.36</v>
      </c>
      <c r="AG97" s="23">
        <f t="shared" si="23"/>
        <v>7493731.0800000001</v>
      </c>
      <c r="AH97" s="23">
        <f t="shared" si="23"/>
        <v>0</v>
      </c>
      <c r="AI97" s="16">
        <f t="shared" si="23"/>
        <v>6592704.9900000012</v>
      </c>
      <c r="AJ97" s="16">
        <f t="shared" si="23"/>
        <v>92285.57</v>
      </c>
      <c r="AK97" s="16">
        <f t="shared" si="23"/>
        <v>5647572.7300000004</v>
      </c>
      <c r="AL97" s="16">
        <f t="shared" si="23"/>
        <v>0</v>
      </c>
      <c r="AM97" s="16">
        <f>AM13+AM38+AM45+AM52+AM59+AM66+AM80+AM87+AM19+AM25+AM31</f>
        <v>2517878.35</v>
      </c>
      <c r="AN97" s="16">
        <f t="shared" si="24"/>
        <v>194767.22</v>
      </c>
      <c r="AO97" s="16">
        <f t="shared" si="24"/>
        <v>431884</v>
      </c>
      <c r="AP97" s="16">
        <f t="shared" si="24"/>
        <v>0</v>
      </c>
      <c r="AQ97" s="37"/>
      <c r="AR97" s="37"/>
    </row>
    <row r="98" spans="1:44" x14ac:dyDescent="0.25">
      <c r="A98" s="109" t="s">
        <v>16</v>
      </c>
      <c r="B98" s="132"/>
      <c r="C98" s="2">
        <f t="shared" ref="C98:Z98" si="26">C14+C39+C46+C53+C60+C67+C74+C81+C88</f>
        <v>0</v>
      </c>
      <c r="D98" s="2">
        <f t="shared" si="26"/>
        <v>0</v>
      </c>
      <c r="E98" s="2">
        <f t="shared" si="26"/>
        <v>1669019.14</v>
      </c>
      <c r="F98" s="2">
        <f t="shared" si="26"/>
        <v>1882435.7999999998</v>
      </c>
      <c r="G98" s="2">
        <f t="shared" si="26"/>
        <v>1912163.48</v>
      </c>
      <c r="H98" s="2">
        <f t="shared" si="26"/>
        <v>1882435.8</v>
      </c>
      <c r="I98" s="2">
        <f t="shared" si="26"/>
        <v>1912257.9000000001</v>
      </c>
      <c r="J98" s="2">
        <f t="shared" si="26"/>
        <v>1882435.8</v>
      </c>
      <c r="K98" s="2">
        <f t="shared" si="26"/>
        <v>1882435.8</v>
      </c>
      <c r="L98" s="2">
        <f t="shared" si="26"/>
        <v>1882435.8</v>
      </c>
      <c r="M98" s="2">
        <f t="shared" si="26"/>
        <v>1882435.8</v>
      </c>
      <c r="N98" s="2">
        <f t="shared" si="26"/>
        <v>1882435.8</v>
      </c>
      <c r="O98" s="2">
        <f t="shared" si="26"/>
        <v>1918227.3900000001</v>
      </c>
      <c r="P98" s="2">
        <f t="shared" si="26"/>
        <v>1882435.8</v>
      </c>
      <c r="Q98" s="2">
        <f t="shared" si="26"/>
        <v>1914435.79</v>
      </c>
      <c r="R98" s="2">
        <f t="shared" si="26"/>
        <v>1882435.8</v>
      </c>
      <c r="S98" s="2">
        <f t="shared" si="26"/>
        <v>1914497.09</v>
      </c>
      <c r="T98" s="2">
        <f t="shared" si="26"/>
        <v>1882435.8</v>
      </c>
      <c r="U98" s="2">
        <f t="shared" si="26"/>
        <v>1917459.72</v>
      </c>
      <c r="V98" s="2">
        <f t="shared" si="26"/>
        <v>1882435.8</v>
      </c>
      <c r="W98" s="2">
        <f t="shared" si="26"/>
        <v>1904985.28</v>
      </c>
      <c r="X98" s="2">
        <f t="shared" si="26"/>
        <v>1882435.8</v>
      </c>
      <c r="Y98" s="2">
        <f t="shared" si="26"/>
        <v>30983920.480000004</v>
      </c>
      <c r="Z98" s="2">
        <f t="shared" si="26"/>
        <v>30913688.039999999</v>
      </c>
      <c r="AA98" s="16">
        <f t="shared" si="22"/>
        <v>4406576.5</v>
      </c>
      <c r="AB98" s="16">
        <f t="shared" si="22"/>
        <v>2369961.35</v>
      </c>
      <c r="AC98" s="16">
        <f t="shared" si="22"/>
        <v>40352793.869999997</v>
      </c>
      <c r="AD98" s="16">
        <f t="shared" si="22"/>
        <v>38134374.859999999</v>
      </c>
      <c r="AE98" s="23">
        <f t="shared" si="23"/>
        <v>33550836.390000001</v>
      </c>
      <c r="AF98" s="23">
        <f t="shared" si="23"/>
        <v>1362588.5</v>
      </c>
      <c r="AG98" s="23">
        <f t="shared" si="23"/>
        <v>31200607.219999999</v>
      </c>
      <c r="AH98" s="23">
        <f t="shared" si="23"/>
        <v>660120.76</v>
      </c>
      <c r="AI98" s="16">
        <f t="shared" si="23"/>
        <v>7870302.5999999996</v>
      </c>
      <c r="AJ98" s="16">
        <f t="shared" si="23"/>
        <v>2860480.3600000003</v>
      </c>
      <c r="AK98" s="16">
        <f t="shared" si="23"/>
        <v>5005157.24</v>
      </c>
      <c r="AL98" s="16">
        <f t="shared" si="23"/>
        <v>0</v>
      </c>
      <c r="AM98" s="16">
        <f>AM14+AM39+AM46+AM53+AM60+AM67+AM81+AM88+AM20+AM26+AM32</f>
        <v>1776880.6799999997</v>
      </c>
      <c r="AN98" s="16">
        <f t="shared" si="24"/>
        <v>587277.8899999999</v>
      </c>
      <c r="AO98" s="16">
        <f t="shared" si="24"/>
        <v>0</v>
      </c>
      <c r="AP98" s="16">
        <f t="shared" si="24"/>
        <v>0</v>
      </c>
      <c r="AQ98" s="37"/>
      <c r="AR98" s="37"/>
    </row>
    <row r="99" spans="1:44" x14ac:dyDescent="0.25">
      <c r="A99" s="133" t="s">
        <v>20</v>
      </c>
      <c r="B99" s="132"/>
      <c r="C99" s="3">
        <v>19700824</v>
      </c>
      <c r="D99" s="3"/>
      <c r="E99" s="3">
        <v>30646350</v>
      </c>
      <c r="F99" s="3"/>
      <c r="G99" s="3">
        <v>30646350</v>
      </c>
      <c r="H99" s="3"/>
      <c r="I99" s="3">
        <v>30646350</v>
      </c>
      <c r="J99" s="3"/>
      <c r="K99" s="3">
        <v>30646350</v>
      </c>
      <c r="L99" s="3"/>
      <c r="M99" s="3">
        <v>30646350</v>
      </c>
      <c r="N99" s="3"/>
      <c r="O99" s="3">
        <v>30646350</v>
      </c>
      <c r="P99" s="3"/>
      <c r="Q99" s="3">
        <v>30646350</v>
      </c>
      <c r="R99" s="3"/>
      <c r="S99" s="3">
        <v>39646350</v>
      </c>
      <c r="T99" s="3"/>
      <c r="U99" s="3">
        <v>39646350</v>
      </c>
      <c r="V99" s="3"/>
      <c r="W99" s="3">
        <v>39646350</v>
      </c>
      <c r="X99" s="3"/>
      <c r="Y99" s="3">
        <v>39592849</v>
      </c>
      <c r="Z99" s="3"/>
      <c r="AA99" s="22">
        <v>43884741</v>
      </c>
      <c r="AB99" s="18"/>
      <c r="AC99" s="22">
        <v>38729175</v>
      </c>
      <c r="AD99" s="18"/>
      <c r="AE99" s="3">
        <v>15529000</v>
      </c>
      <c r="AF99" s="18"/>
      <c r="AG99" s="18"/>
      <c r="AH99" s="18"/>
      <c r="AI99" s="22">
        <v>1250000</v>
      </c>
      <c r="AJ99" s="22"/>
      <c r="AK99" s="22"/>
      <c r="AL99" s="22"/>
      <c r="AM99" s="22">
        <v>0</v>
      </c>
      <c r="AN99" s="22"/>
      <c r="AO99" s="22"/>
      <c r="AP99" s="22"/>
      <c r="AQ99" s="37"/>
      <c r="AR99" s="37"/>
    </row>
    <row r="100" spans="1:44" x14ac:dyDescent="0.25">
      <c r="A100" s="133" t="s">
        <v>21</v>
      </c>
      <c r="B100" s="132"/>
      <c r="C100" s="3">
        <f t="shared" ref="C100:AA100" si="27">C93+C99</f>
        <v>114288501.81999999</v>
      </c>
      <c r="D100" s="3">
        <f t="shared" si="27"/>
        <v>68008770.719999999</v>
      </c>
      <c r="E100" s="3">
        <f t="shared" si="27"/>
        <v>116511079.75999999</v>
      </c>
      <c r="F100" s="3">
        <f t="shared" si="27"/>
        <v>66510808.209999993</v>
      </c>
      <c r="G100" s="3">
        <f t="shared" si="27"/>
        <v>124157416.09000002</v>
      </c>
      <c r="H100" s="3">
        <f t="shared" si="27"/>
        <v>66963948.660000004</v>
      </c>
      <c r="I100" s="3">
        <f t="shared" si="27"/>
        <v>123086498.88000001</v>
      </c>
      <c r="J100" s="3">
        <f t="shared" si="27"/>
        <v>69371696.100000009</v>
      </c>
      <c r="K100" s="3">
        <f t="shared" si="27"/>
        <v>124338367.95999999</v>
      </c>
      <c r="L100" s="3">
        <f t="shared" si="27"/>
        <v>72494645.030000001</v>
      </c>
      <c r="M100" s="3">
        <f t="shared" si="27"/>
        <v>125996638.34</v>
      </c>
      <c r="N100" s="3">
        <f t="shared" si="27"/>
        <v>74699098.340000004</v>
      </c>
      <c r="O100" s="3">
        <f t="shared" si="27"/>
        <v>123599288.27</v>
      </c>
      <c r="P100" s="3">
        <f t="shared" si="27"/>
        <v>82357876.220000014</v>
      </c>
      <c r="Q100" s="3">
        <f t="shared" si="27"/>
        <v>128095881.20999998</v>
      </c>
      <c r="R100" s="3">
        <f t="shared" si="27"/>
        <v>74441297.569999993</v>
      </c>
      <c r="S100" s="3">
        <f t="shared" si="27"/>
        <v>136401625.49000001</v>
      </c>
      <c r="T100" s="3">
        <f t="shared" si="27"/>
        <v>74719949.890000001</v>
      </c>
      <c r="U100" s="3">
        <f t="shared" si="27"/>
        <v>136999081.71999997</v>
      </c>
      <c r="V100" s="3">
        <f t="shared" si="27"/>
        <v>74918061.669999987</v>
      </c>
      <c r="W100" s="3">
        <f t="shared" si="27"/>
        <v>143078032.53</v>
      </c>
      <c r="X100" s="3">
        <f t="shared" si="27"/>
        <v>71550048.36999999</v>
      </c>
      <c r="Y100" s="3">
        <f t="shared" si="27"/>
        <v>179105676.16999999</v>
      </c>
      <c r="Z100" s="3">
        <f t="shared" si="27"/>
        <v>116277638.82999998</v>
      </c>
      <c r="AA100" s="22">
        <f t="shared" si="27"/>
        <v>180677679.08000001</v>
      </c>
      <c r="AB100" s="22">
        <f>AB93+AB99</f>
        <v>43344897.469999999</v>
      </c>
      <c r="AC100" s="22">
        <f t="shared" ref="AC100:AP100" si="28">AC93+AC99</f>
        <v>249815793.58000001</v>
      </c>
      <c r="AD100" s="22">
        <f t="shared" si="28"/>
        <v>119975047.31999999</v>
      </c>
      <c r="AE100" s="3">
        <f t="shared" si="28"/>
        <v>225591888.64999998</v>
      </c>
      <c r="AF100" s="3">
        <f t="shared" si="28"/>
        <v>99495187.609999999</v>
      </c>
      <c r="AG100" s="3">
        <f t="shared" si="28"/>
        <v>86313931.799999982</v>
      </c>
      <c r="AH100" s="3">
        <f t="shared" si="28"/>
        <v>23141374.309999999</v>
      </c>
      <c r="AI100" s="22">
        <f t="shared" si="28"/>
        <v>130196217.90000001</v>
      </c>
      <c r="AJ100" s="22">
        <f t="shared" si="28"/>
        <v>32163242.649999999</v>
      </c>
      <c r="AK100" s="22">
        <f t="shared" si="28"/>
        <v>14429840.109999999</v>
      </c>
      <c r="AL100" s="22">
        <f t="shared" si="28"/>
        <v>0</v>
      </c>
      <c r="AM100" s="22">
        <f t="shared" si="28"/>
        <v>102456164.49000001</v>
      </c>
      <c r="AN100" s="22">
        <f t="shared" si="28"/>
        <v>29218451.84</v>
      </c>
      <c r="AO100" s="22">
        <f t="shared" si="28"/>
        <v>3352227.81</v>
      </c>
      <c r="AP100" s="22">
        <f t="shared" si="28"/>
        <v>0</v>
      </c>
      <c r="AQ100" s="36">
        <f>AM100/AI100-1</f>
        <v>-0.21306343500167058</v>
      </c>
      <c r="AR100" s="36">
        <f>AO100/AK100-1</f>
        <v>-0.76768780634811895</v>
      </c>
    </row>
    <row r="101" spans="1:44" x14ac:dyDescent="0.25">
      <c r="A101" s="109" t="s">
        <v>22</v>
      </c>
      <c r="B101" s="13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x14ac:dyDescent="0.25">
      <c r="A102" s="109" t="s">
        <v>27</v>
      </c>
      <c r="B102" s="132"/>
      <c r="C102" s="4">
        <v>102575991</v>
      </c>
      <c r="D102" s="4">
        <v>63430848.460000001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x14ac:dyDescent="0.25">
      <c r="A103" s="109" t="s">
        <v>26</v>
      </c>
      <c r="B103" s="132"/>
      <c r="C103" s="4">
        <f>C100-C102</f>
        <v>11712510.819999993</v>
      </c>
      <c r="D103" s="4">
        <f>D100-D102</f>
        <v>4577922.2599999979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x14ac:dyDescent="0.25">
      <c r="A104" s="109" t="s">
        <v>40</v>
      </c>
      <c r="B104" s="13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1">
        <v>2369961.35</v>
      </c>
      <c r="AB104" s="21">
        <v>2369961.35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x14ac:dyDescent="0.25">
      <c r="AM105" s="48"/>
      <c r="AN105" s="48"/>
      <c r="AO105" s="48"/>
      <c r="AP105" s="48"/>
      <c r="AQ105" s="48"/>
      <c r="AR105" s="48"/>
    </row>
    <row r="106" spans="1:44" x14ac:dyDescent="0.25">
      <c r="AM106" s="48"/>
      <c r="AN106" s="48"/>
      <c r="AO106" s="48"/>
      <c r="AP106" s="48"/>
      <c r="AQ106" s="48"/>
      <c r="AR106" s="48"/>
    </row>
    <row r="107" spans="1:44" x14ac:dyDescent="0.25">
      <c r="AM107" s="48"/>
      <c r="AN107" s="48"/>
      <c r="AO107" s="48"/>
      <c r="AP107" s="48"/>
      <c r="AQ107" s="48"/>
      <c r="AR107" s="48"/>
    </row>
    <row r="108" spans="1:44" x14ac:dyDescent="0.25">
      <c r="AM108" s="48"/>
      <c r="AN108" s="48"/>
      <c r="AO108" s="48"/>
      <c r="AP108" s="48"/>
      <c r="AQ108" s="48"/>
      <c r="AR108" s="48"/>
    </row>
    <row r="109" spans="1:44" x14ac:dyDescent="0.25">
      <c r="AM109" s="48"/>
      <c r="AN109" s="48"/>
      <c r="AO109" s="48"/>
      <c r="AP109" s="48"/>
      <c r="AQ109" s="48"/>
      <c r="AR109" s="48"/>
    </row>
    <row r="110" spans="1:44" x14ac:dyDescent="0.25">
      <c r="AM110" s="48"/>
      <c r="AN110" s="48"/>
      <c r="AO110" s="48"/>
      <c r="AP110" s="48"/>
      <c r="AQ110" s="48"/>
      <c r="AR110" s="48"/>
    </row>
    <row r="111" spans="1:44" x14ac:dyDescent="0.25">
      <c r="AM111" s="48"/>
      <c r="AN111" s="48"/>
      <c r="AO111" s="48"/>
      <c r="AP111" s="48"/>
      <c r="AQ111" s="48"/>
      <c r="AR111" s="48"/>
    </row>
    <row r="112" spans="1:44" x14ac:dyDescent="0.25">
      <c r="AM112" s="48"/>
      <c r="AN112" s="48"/>
      <c r="AO112" s="48"/>
      <c r="AP112" s="48"/>
      <c r="AQ112" s="48"/>
      <c r="AR112" s="48"/>
    </row>
    <row r="113" spans="39:44" x14ac:dyDescent="0.25">
      <c r="AM113" s="48"/>
      <c r="AN113" s="48"/>
      <c r="AO113" s="48"/>
      <c r="AP113" s="48"/>
      <c r="AQ113" s="48"/>
      <c r="AR113" s="48"/>
    </row>
    <row r="114" spans="39:44" x14ac:dyDescent="0.25">
      <c r="AM114" s="48"/>
      <c r="AN114" s="48"/>
      <c r="AO114" s="48"/>
      <c r="AP114" s="48"/>
      <c r="AQ114" s="48"/>
      <c r="AR114" s="48"/>
    </row>
  </sheetData>
  <mergeCells count="470"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Q89:AQ90"/>
    <mergeCell ref="AR89:AR90"/>
    <mergeCell ref="A90:B90"/>
    <mergeCell ref="A91:B91"/>
    <mergeCell ref="AP82:AP83"/>
    <mergeCell ref="AQ82:AQ83"/>
    <mergeCell ref="AR82:AR83"/>
    <mergeCell ref="A84:B84"/>
    <mergeCell ref="A85:B85"/>
    <mergeCell ref="A86:B86"/>
    <mergeCell ref="AJ82:AJ83"/>
    <mergeCell ref="AK82:AK83"/>
    <mergeCell ref="AL82:AL83"/>
    <mergeCell ref="AM82:AM83"/>
    <mergeCell ref="AN82:AN83"/>
    <mergeCell ref="AO82:AO83"/>
    <mergeCell ref="AD82:AD83"/>
    <mergeCell ref="AE82:AE83"/>
    <mergeCell ref="AF82:AF83"/>
    <mergeCell ref="AG82:AG83"/>
    <mergeCell ref="AH82:AH83"/>
    <mergeCell ref="AI82:AI83"/>
    <mergeCell ref="X82:X83"/>
    <mergeCell ref="Y82:Y83"/>
    <mergeCell ref="Z82:Z83"/>
    <mergeCell ref="AA82:AA83"/>
    <mergeCell ref="AB82:AB83"/>
    <mergeCell ref="AC82:AC83"/>
    <mergeCell ref="R82:R83"/>
    <mergeCell ref="S82:S83"/>
    <mergeCell ref="T82:T83"/>
    <mergeCell ref="U82:U83"/>
    <mergeCell ref="V82:V83"/>
    <mergeCell ref="W82:W83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A80:B80"/>
    <mergeCell ref="A81:B81"/>
    <mergeCell ref="A82:B83"/>
    <mergeCell ref="C82:C83"/>
    <mergeCell ref="D82:D83"/>
    <mergeCell ref="E82:E83"/>
    <mergeCell ref="AP75:AP76"/>
    <mergeCell ref="AQ75:AQ76"/>
    <mergeCell ref="AR75:AR76"/>
    <mergeCell ref="A77:B77"/>
    <mergeCell ref="A78:B78"/>
    <mergeCell ref="A79:B79"/>
    <mergeCell ref="AJ75:AJ76"/>
    <mergeCell ref="AK75:AK76"/>
    <mergeCell ref="AL75:AL76"/>
    <mergeCell ref="AM75:AM76"/>
    <mergeCell ref="AN75:AN76"/>
    <mergeCell ref="AO75:AO76"/>
    <mergeCell ref="AD75:AD76"/>
    <mergeCell ref="AE75:AE76"/>
    <mergeCell ref="AF75:AF76"/>
    <mergeCell ref="AG75:AG76"/>
    <mergeCell ref="AH75:AH76"/>
    <mergeCell ref="AI75:AI76"/>
    <mergeCell ref="X75:X76"/>
    <mergeCell ref="Y75:Y76"/>
    <mergeCell ref="Z75:Z76"/>
    <mergeCell ref="AA75:AA76"/>
    <mergeCell ref="AB75:AB76"/>
    <mergeCell ref="AC75:AC76"/>
    <mergeCell ref="R75:R76"/>
    <mergeCell ref="S75:S76"/>
    <mergeCell ref="T75:T76"/>
    <mergeCell ref="U75:U76"/>
    <mergeCell ref="V75:V76"/>
    <mergeCell ref="W75:W76"/>
    <mergeCell ref="L75:L76"/>
    <mergeCell ref="M75:M76"/>
    <mergeCell ref="N75:N76"/>
    <mergeCell ref="O75:O76"/>
    <mergeCell ref="P75:P76"/>
    <mergeCell ref="Q75:Q76"/>
    <mergeCell ref="F75:F76"/>
    <mergeCell ref="G75:G76"/>
    <mergeCell ref="H75:H76"/>
    <mergeCell ref="I75:I76"/>
    <mergeCell ref="J75:J76"/>
    <mergeCell ref="K75:K76"/>
    <mergeCell ref="A73:B73"/>
    <mergeCell ref="A74:B74"/>
    <mergeCell ref="A75:B76"/>
    <mergeCell ref="C75:C76"/>
    <mergeCell ref="D75:D76"/>
    <mergeCell ref="E75:E76"/>
    <mergeCell ref="Z68:Z69"/>
    <mergeCell ref="AQ68:AQ69"/>
    <mergeCell ref="AR68:AR69"/>
    <mergeCell ref="A70:B70"/>
    <mergeCell ref="A71:B71"/>
    <mergeCell ref="A72:B72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B69"/>
    <mergeCell ref="C68:C69"/>
    <mergeCell ref="D68:D69"/>
    <mergeCell ref="E68:E69"/>
    <mergeCell ref="F68:F69"/>
    <mergeCell ref="G68:G69"/>
    <mergeCell ref="AR61:AR62"/>
    <mergeCell ref="A63:B63"/>
    <mergeCell ref="A64:B64"/>
    <mergeCell ref="A65:B65"/>
    <mergeCell ref="A66:B66"/>
    <mergeCell ref="A67:B67"/>
    <mergeCell ref="AL61:AL62"/>
    <mergeCell ref="AM61:AM62"/>
    <mergeCell ref="AN61:AN62"/>
    <mergeCell ref="AO61:AO62"/>
    <mergeCell ref="AP61:AP62"/>
    <mergeCell ref="AQ61:AQ62"/>
    <mergeCell ref="AF61:AF62"/>
    <mergeCell ref="AG61:AG62"/>
    <mergeCell ref="AH61:AH62"/>
    <mergeCell ref="AI61:AI62"/>
    <mergeCell ref="AJ61:AJ62"/>
    <mergeCell ref="AK61:AK62"/>
    <mergeCell ref="Z61:Z62"/>
    <mergeCell ref="AA61:AA62"/>
    <mergeCell ref="AB61:AB62"/>
    <mergeCell ref="AC61:AC62"/>
    <mergeCell ref="AD61:AD62"/>
    <mergeCell ref="AE61:AE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H61:H62"/>
    <mergeCell ref="I61:I62"/>
    <mergeCell ref="J61:J62"/>
    <mergeCell ref="K61:K62"/>
    <mergeCell ref="L61:L62"/>
    <mergeCell ref="M61:M62"/>
    <mergeCell ref="A61:B62"/>
    <mergeCell ref="C61:C62"/>
    <mergeCell ref="D61:D62"/>
    <mergeCell ref="E61:E62"/>
    <mergeCell ref="F61:F62"/>
    <mergeCell ref="G61:G62"/>
    <mergeCell ref="AR54:AR55"/>
    <mergeCell ref="A56:B56"/>
    <mergeCell ref="A57:B57"/>
    <mergeCell ref="A58:B58"/>
    <mergeCell ref="A59:B59"/>
    <mergeCell ref="A60:B60"/>
    <mergeCell ref="AL54:AL55"/>
    <mergeCell ref="AM54:AM55"/>
    <mergeCell ref="AN54:AN55"/>
    <mergeCell ref="AO54:AO55"/>
    <mergeCell ref="AP54:AP55"/>
    <mergeCell ref="AQ54:AQ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B55"/>
    <mergeCell ref="C54:C55"/>
    <mergeCell ref="D54:D55"/>
    <mergeCell ref="E54:E55"/>
    <mergeCell ref="F54:F55"/>
    <mergeCell ref="G54:G55"/>
    <mergeCell ref="AR47:AR48"/>
    <mergeCell ref="A49:B49"/>
    <mergeCell ref="A50:B50"/>
    <mergeCell ref="A51:B51"/>
    <mergeCell ref="A52:B52"/>
    <mergeCell ref="A53:B53"/>
    <mergeCell ref="AL47:AL48"/>
    <mergeCell ref="AM47:AM48"/>
    <mergeCell ref="AN47:AN48"/>
    <mergeCell ref="AO47:AO48"/>
    <mergeCell ref="AP47:AP48"/>
    <mergeCell ref="AQ47:AQ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AR40:AR41"/>
    <mergeCell ref="A42:B42"/>
    <mergeCell ref="A43:B43"/>
    <mergeCell ref="A44:B44"/>
    <mergeCell ref="A45:B45"/>
    <mergeCell ref="A46:B46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A40:B41"/>
    <mergeCell ref="C40:C41"/>
    <mergeCell ref="D40:D41"/>
    <mergeCell ref="E40:E41"/>
    <mergeCell ref="F40:F41"/>
    <mergeCell ref="G40:G41"/>
    <mergeCell ref="AR33:AR34"/>
    <mergeCell ref="A35:B35"/>
    <mergeCell ref="A36:B36"/>
    <mergeCell ref="A37:B37"/>
    <mergeCell ref="A38:B38"/>
    <mergeCell ref="A39:B39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R8:AR9"/>
    <mergeCell ref="A10:B10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A8:B9"/>
    <mergeCell ref="C8:C9"/>
    <mergeCell ref="D8:D9"/>
    <mergeCell ref="E8:E9"/>
    <mergeCell ref="F8:F9"/>
    <mergeCell ref="G8:G9"/>
    <mergeCell ref="S5:T6"/>
    <mergeCell ref="U5:V6"/>
    <mergeCell ref="W5:X6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E5:AH6"/>
    <mergeCell ref="AI5:AL6"/>
    <mergeCell ref="AM5:AP6"/>
    <mergeCell ref="AQ5:AR6"/>
    <mergeCell ref="Y5:Z6"/>
    <mergeCell ref="AA5:AB6"/>
    <mergeCell ref="AC5:AD6"/>
  </mergeCells>
  <pageMargins left="0.7" right="0.7" top="0.75" bottom="0.75" header="0.3" footer="0.3"/>
  <pageSetup paperSize="9" scale="5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114"/>
  <sheetViews>
    <sheetView topLeftCell="A4" workbookViewId="0">
      <selection activeCell="A4" sqref="A1:XFD1048576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38" width="14" customWidth="1"/>
    <col min="39" max="39" width="16" customWidth="1"/>
    <col min="40" max="42" width="14" customWidth="1"/>
    <col min="44" max="44" width="9.42578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43770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51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5803557.8900000006</v>
      </c>
      <c r="AN8" s="120">
        <f>AN10+AN11+AN12+AN13+AN14</f>
        <v>335395.67000000004</v>
      </c>
      <c r="AO8" s="120">
        <v>0</v>
      </c>
      <c r="AP8" s="120">
        <v>0</v>
      </c>
      <c r="AQ8" s="116">
        <f>AM8/AI8-1</f>
        <v>-0.86290943059044356</v>
      </c>
      <c r="AR8" s="116" t="e">
        <f>AO8/AK8-1</f>
        <v>#DIV/0!</v>
      </c>
    </row>
    <row r="9" spans="1:44" ht="10.5" customHeight="1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45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v>2585411.19</v>
      </c>
      <c r="AN10" s="19">
        <v>7277.75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v>1667330.21</v>
      </c>
      <c r="AN11" s="19">
        <v>206447.48</v>
      </c>
      <c r="AO11" s="19"/>
      <c r="AP11" s="19"/>
      <c r="AQ11" s="34"/>
      <c r="AR11" s="34"/>
    </row>
    <row r="12" spans="1:44" ht="45.75" customHeight="1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>
        <v>1550816.49</v>
      </c>
      <c r="AN12" s="19">
        <v>121670.44</v>
      </c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/>
      <c r="AN13" s="19"/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36" t="s">
        <v>48</v>
      </c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1"/>
      <c r="AD15" s="51"/>
      <c r="AE15" s="50"/>
      <c r="AF15" s="50"/>
      <c r="AG15" s="50"/>
      <c r="AH15" s="50"/>
      <c r="AI15" s="51"/>
      <c r="AJ15" s="51"/>
      <c r="AK15" s="51"/>
      <c r="AL15" s="51"/>
      <c r="AM15" s="67">
        <f>AM16+AM17+AM18+AM19+AM20</f>
        <v>33942585.969999999</v>
      </c>
      <c r="AN15" s="67">
        <f>AN16+AN17+AN18+AN19+AN20</f>
        <v>4102187.96</v>
      </c>
      <c r="AO15" s="67">
        <f t="shared" ref="AO15:AP15" si="1">AO16+AO17+AO18+AO19+AO20</f>
        <v>0</v>
      </c>
      <c r="AP15" s="67">
        <f t="shared" si="1"/>
        <v>0</v>
      </c>
      <c r="AQ15" s="55"/>
      <c r="AR15" s="55"/>
    </row>
    <row r="16" spans="1:44" ht="41.25" customHeight="1" x14ac:dyDescent="0.25">
      <c r="A16" s="109" t="s">
        <v>11</v>
      </c>
      <c r="B16" s="11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1"/>
      <c r="AD16" s="51"/>
      <c r="AE16" s="50"/>
      <c r="AF16" s="50"/>
      <c r="AG16" s="50"/>
      <c r="AH16" s="50"/>
      <c r="AI16" s="51"/>
      <c r="AJ16" s="51"/>
      <c r="AK16" s="51"/>
      <c r="AL16" s="51"/>
      <c r="AM16" s="51">
        <f>31917379.8+434508.15</f>
        <v>32351887.949999999</v>
      </c>
      <c r="AN16" s="51">
        <v>4102187.96</v>
      </c>
      <c r="AO16" s="51"/>
      <c r="AP16" s="51"/>
      <c r="AQ16" s="55"/>
      <c r="AR16" s="55"/>
    </row>
    <row r="17" spans="1:44" x14ac:dyDescent="0.25">
      <c r="A17" s="109" t="s">
        <v>8</v>
      </c>
      <c r="B17" s="11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1"/>
      <c r="AD17" s="51"/>
      <c r="AE17" s="50"/>
      <c r="AF17" s="50"/>
      <c r="AG17" s="50"/>
      <c r="AH17" s="50"/>
      <c r="AI17" s="51"/>
      <c r="AJ17" s="51"/>
      <c r="AK17" s="51"/>
      <c r="AL17" s="51"/>
      <c r="AM17" s="51">
        <v>1100800.74</v>
      </c>
      <c r="AN17" s="51"/>
      <c r="AO17" s="51"/>
      <c r="AP17" s="51"/>
      <c r="AQ17" s="55"/>
      <c r="AR17" s="55"/>
    </row>
    <row r="18" spans="1:44" ht="44.25" customHeight="1" x14ac:dyDescent="0.25">
      <c r="A18" s="109" t="s">
        <v>9</v>
      </c>
      <c r="B18" s="11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1"/>
      <c r="AD18" s="51"/>
      <c r="AE18" s="50"/>
      <c r="AF18" s="50"/>
      <c r="AG18" s="50"/>
      <c r="AH18" s="50"/>
      <c r="AI18" s="51"/>
      <c r="AJ18" s="51"/>
      <c r="AK18" s="51"/>
      <c r="AL18" s="51"/>
      <c r="AM18" s="51">
        <v>489897.28</v>
      </c>
      <c r="AN18" s="51"/>
      <c r="AO18" s="51"/>
      <c r="AP18" s="51"/>
      <c r="AQ18" s="55"/>
      <c r="AR18" s="55"/>
    </row>
    <row r="19" spans="1:44" x14ac:dyDescent="0.25">
      <c r="A19" s="109" t="s">
        <v>10</v>
      </c>
      <c r="B19" s="11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1"/>
      <c r="AD19" s="51"/>
      <c r="AE19" s="50"/>
      <c r="AF19" s="50"/>
      <c r="AG19" s="50"/>
      <c r="AH19" s="50"/>
      <c r="AI19" s="51"/>
      <c r="AJ19" s="51"/>
      <c r="AK19" s="51"/>
      <c r="AL19" s="51"/>
      <c r="AM19" s="51"/>
      <c r="AN19" s="51"/>
      <c r="AO19" s="51"/>
      <c r="AP19" s="51"/>
      <c r="AQ19" s="55"/>
      <c r="AR19" s="55"/>
    </row>
    <row r="20" spans="1:44" x14ac:dyDescent="0.25">
      <c r="A20" s="109" t="s">
        <v>16</v>
      </c>
      <c r="B20" s="1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1"/>
      <c r="AD20" s="51"/>
      <c r="AE20" s="50"/>
      <c r="AF20" s="50"/>
      <c r="AG20" s="50"/>
      <c r="AH20" s="50"/>
      <c r="AI20" s="51"/>
      <c r="AJ20" s="51"/>
      <c r="AK20" s="51"/>
      <c r="AL20" s="51"/>
      <c r="AM20" s="51"/>
      <c r="AN20" s="51"/>
      <c r="AO20" s="51"/>
      <c r="AP20" s="51"/>
      <c r="AQ20" s="55"/>
      <c r="AR20" s="55"/>
    </row>
    <row r="21" spans="1:44" x14ac:dyDescent="0.25">
      <c r="A21" s="136" t="s">
        <v>49</v>
      </c>
      <c r="B21" s="13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1"/>
      <c r="AD21" s="51"/>
      <c r="AE21" s="50"/>
      <c r="AF21" s="50"/>
      <c r="AG21" s="50"/>
      <c r="AH21" s="50"/>
      <c r="AI21" s="51"/>
      <c r="AJ21" s="51"/>
      <c r="AK21" s="51"/>
      <c r="AL21" s="51"/>
      <c r="AM21" s="67">
        <f>AM22+AM23+AM24+AM25+AM26</f>
        <v>5287388.22</v>
      </c>
      <c r="AN21" s="67">
        <f t="shared" ref="AN21:AP21" si="2">AN22+AN23+AN24+AN25+AN26</f>
        <v>0</v>
      </c>
      <c r="AO21" s="67">
        <v>0</v>
      </c>
      <c r="AP21" s="67">
        <f t="shared" si="2"/>
        <v>0</v>
      </c>
      <c r="AQ21" s="55"/>
      <c r="AR21" s="55"/>
    </row>
    <row r="22" spans="1:44" ht="49.5" customHeight="1" x14ac:dyDescent="0.25">
      <c r="A22" s="109" t="s">
        <v>11</v>
      </c>
      <c r="B22" s="11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1"/>
      <c r="AD22" s="51"/>
      <c r="AE22" s="50"/>
      <c r="AF22" s="50"/>
      <c r="AG22" s="50"/>
      <c r="AH22" s="50"/>
      <c r="AI22" s="51"/>
      <c r="AJ22" s="51"/>
      <c r="AK22" s="51"/>
      <c r="AL22" s="51"/>
      <c r="AM22" s="51">
        <f>4698292.1+41300.82</f>
        <v>4739592.92</v>
      </c>
      <c r="AN22" s="51"/>
      <c r="AO22" s="51">
        <v>0</v>
      </c>
      <c r="AP22" s="51"/>
      <c r="AQ22" s="55"/>
      <c r="AR22" s="55"/>
    </row>
    <row r="23" spans="1:44" x14ac:dyDescent="0.25">
      <c r="A23" s="109" t="s">
        <v>8</v>
      </c>
      <c r="B23" s="11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1"/>
      <c r="AD23" s="51"/>
      <c r="AE23" s="50"/>
      <c r="AF23" s="50"/>
      <c r="AG23" s="50"/>
      <c r="AH23" s="50"/>
      <c r="AI23" s="51"/>
      <c r="AJ23" s="51"/>
      <c r="AK23" s="51"/>
      <c r="AL23" s="51"/>
      <c r="AM23" s="51">
        <v>380414.06</v>
      </c>
      <c r="AN23" s="51"/>
      <c r="AO23" s="51"/>
      <c r="AP23" s="51"/>
      <c r="AQ23" s="55"/>
      <c r="AR23" s="55"/>
    </row>
    <row r="24" spans="1:44" ht="45" customHeight="1" x14ac:dyDescent="0.25">
      <c r="A24" s="109" t="s">
        <v>9</v>
      </c>
      <c r="B24" s="11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1"/>
      <c r="AD24" s="51"/>
      <c r="AE24" s="50"/>
      <c r="AF24" s="50"/>
      <c r="AG24" s="50"/>
      <c r="AH24" s="50"/>
      <c r="AI24" s="51"/>
      <c r="AJ24" s="51"/>
      <c r="AK24" s="51"/>
      <c r="AL24" s="51"/>
      <c r="AM24" s="51">
        <v>167381.24</v>
      </c>
      <c r="AN24" s="51"/>
      <c r="AO24" s="51"/>
      <c r="AP24" s="51"/>
      <c r="AQ24" s="55"/>
      <c r="AR24" s="55"/>
    </row>
    <row r="25" spans="1:44" x14ac:dyDescent="0.25">
      <c r="A25" s="109" t="s">
        <v>10</v>
      </c>
      <c r="B25" s="1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1"/>
      <c r="AD25" s="51"/>
      <c r="AE25" s="50"/>
      <c r="AF25" s="50"/>
      <c r="AG25" s="50"/>
      <c r="AH25" s="50"/>
      <c r="AI25" s="51"/>
      <c r="AJ25" s="51"/>
      <c r="AK25" s="51"/>
      <c r="AL25" s="51"/>
      <c r="AM25" s="51"/>
      <c r="AN25" s="51"/>
      <c r="AO25" s="51"/>
      <c r="AP25" s="51"/>
      <c r="AQ25" s="55"/>
      <c r="AR25" s="55"/>
    </row>
    <row r="26" spans="1:44" x14ac:dyDescent="0.25">
      <c r="A26" s="109" t="s">
        <v>16</v>
      </c>
      <c r="B26" s="1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1"/>
      <c r="AD26" s="51"/>
      <c r="AE26" s="50"/>
      <c r="AF26" s="50"/>
      <c r="AG26" s="50"/>
      <c r="AH26" s="50"/>
      <c r="AI26" s="51"/>
      <c r="AJ26" s="51"/>
      <c r="AK26" s="51"/>
      <c r="AL26" s="51"/>
      <c r="AM26" s="51"/>
      <c r="AN26" s="51"/>
      <c r="AO26" s="51"/>
      <c r="AP26" s="51"/>
      <c r="AQ26" s="55"/>
      <c r="AR26" s="55"/>
    </row>
    <row r="27" spans="1:44" x14ac:dyDescent="0.25">
      <c r="A27" s="136" t="s">
        <v>50</v>
      </c>
      <c r="B27" s="1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1"/>
      <c r="AD27" s="51"/>
      <c r="AE27" s="50"/>
      <c r="AF27" s="50"/>
      <c r="AG27" s="50"/>
      <c r="AH27" s="50"/>
      <c r="AI27" s="51"/>
      <c r="AJ27" s="51"/>
      <c r="AK27" s="51"/>
      <c r="AL27" s="51"/>
      <c r="AM27" s="67">
        <f>AM28+AM29+AM30+AM31+AM32</f>
        <v>2114528.6</v>
      </c>
      <c r="AN27" s="67">
        <f t="shared" ref="AN27:AP27" si="3">AN28+AN29+AN30+AN31+AN32</f>
        <v>1235155.95</v>
      </c>
      <c r="AO27" s="67">
        <f t="shared" si="3"/>
        <v>0</v>
      </c>
      <c r="AP27" s="67">
        <f t="shared" si="3"/>
        <v>0</v>
      </c>
      <c r="AQ27" s="55"/>
      <c r="AR27" s="55"/>
    </row>
    <row r="28" spans="1:44" ht="47.25" customHeight="1" x14ac:dyDescent="0.25">
      <c r="A28" s="109" t="s">
        <v>11</v>
      </c>
      <c r="B28" s="1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1"/>
      <c r="AD28" s="51"/>
      <c r="AE28" s="50"/>
      <c r="AF28" s="50"/>
      <c r="AG28" s="50"/>
      <c r="AH28" s="50"/>
      <c r="AI28" s="51"/>
      <c r="AJ28" s="51"/>
      <c r="AK28" s="51"/>
      <c r="AL28" s="51"/>
      <c r="AM28" s="51">
        <v>1715033.81</v>
      </c>
      <c r="AN28" s="51">
        <v>1235155.95</v>
      </c>
      <c r="AO28" s="51"/>
      <c r="AP28" s="51"/>
      <c r="AQ28" s="55"/>
      <c r="AR28" s="55"/>
    </row>
    <row r="29" spans="1:44" x14ac:dyDescent="0.25">
      <c r="A29" s="109" t="s">
        <v>8</v>
      </c>
      <c r="B29" s="1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1"/>
      <c r="AD29" s="51"/>
      <c r="AE29" s="50"/>
      <c r="AF29" s="50"/>
      <c r="AG29" s="50"/>
      <c r="AH29" s="50"/>
      <c r="AI29" s="51"/>
      <c r="AJ29" s="51"/>
      <c r="AK29" s="51"/>
      <c r="AL29" s="51"/>
      <c r="AM29" s="51">
        <v>279105.46000000002</v>
      </c>
      <c r="AN29" s="51"/>
      <c r="AO29" s="51"/>
      <c r="AP29" s="51"/>
      <c r="AQ29" s="55"/>
      <c r="AR29" s="55"/>
    </row>
    <row r="30" spans="1:44" ht="45.75" customHeight="1" x14ac:dyDescent="0.25">
      <c r="A30" s="109" t="s">
        <v>9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1"/>
      <c r="AD30" s="51"/>
      <c r="AE30" s="50"/>
      <c r="AF30" s="50"/>
      <c r="AG30" s="50"/>
      <c r="AH30" s="50"/>
      <c r="AI30" s="51"/>
      <c r="AJ30" s="51"/>
      <c r="AK30" s="51"/>
      <c r="AL30" s="51"/>
      <c r="AM30" s="51">
        <v>120389.33</v>
      </c>
      <c r="AN30" s="51"/>
      <c r="AO30" s="51"/>
      <c r="AP30" s="51"/>
      <c r="AQ30" s="55"/>
      <c r="AR30" s="55"/>
    </row>
    <row r="31" spans="1:44" x14ac:dyDescent="0.25">
      <c r="A31" s="109" t="s">
        <v>10</v>
      </c>
      <c r="B31" s="110"/>
      <c r="C31" s="66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1"/>
      <c r="AD31" s="51"/>
      <c r="AE31" s="50"/>
      <c r="AF31" s="50"/>
      <c r="AG31" s="50"/>
      <c r="AH31" s="50"/>
      <c r="AI31" s="51"/>
      <c r="AJ31" s="51"/>
      <c r="AK31" s="51"/>
      <c r="AL31" s="51"/>
      <c r="AM31" s="51"/>
      <c r="AN31" s="51"/>
      <c r="AO31" s="51"/>
      <c r="AP31" s="51"/>
      <c r="AQ31" s="55"/>
      <c r="AR31" s="55"/>
    </row>
    <row r="32" spans="1:44" x14ac:dyDescent="0.25">
      <c r="A32" s="109" t="s">
        <v>16</v>
      </c>
      <c r="B32" s="11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1"/>
      <c r="AD32" s="51"/>
      <c r="AE32" s="50"/>
      <c r="AF32" s="50"/>
      <c r="AG32" s="50"/>
      <c r="AH32" s="50"/>
      <c r="AI32" s="51"/>
      <c r="AJ32" s="51"/>
      <c r="AK32" s="51"/>
      <c r="AL32" s="51"/>
      <c r="AM32" s="51"/>
      <c r="AN32" s="51"/>
      <c r="AO32" s="51"/>
      <c r="AP32" s="51"/>
      <c r="AQ32" s="55"/>
      <c r="AR32" s="55"/>
    </row>
    <row r="33" spans="1:47" x14ac:dyDescent="0.25">
      <c r="A33" s="111" t="s">
        <v>1</v>
      </c>
      <c r="B33" s="112"/>
      <c r="C33" s="115">
        <f>SUM(C35:C39)</f>
        <v>0</v>
      </c>
      <c r="D33" s="115">
        <f>SUM(D35:D39)</f>
        <v>0</v>
      </c>
      <c r="E33" s="115">
        <f t="shared" ref="E33:AD33" si="4">SUM(E35:E39)</f>
        <v>35747.5</v>
      </c>
      <c r="F33" s="115">
        <f t="shared" si="4"/>
        <v>0</v>
      </c>
      <c r="G33" s="115">
        <f t="shared" si="4"/>
        <v>0</v>
      </c>
      <c r="H33" s="115">
        <f t="shared" si="4"/>
        <v>0</v>
      </c>
      <c r="I33" s="115">
        <f t="shared" si="4"/>
        <v>0</v>
      </c>
      <c r="J33" s="115">
        <f t="shared" si="4"/>
        <v>0</v>
      </c>
      <c r="K33" s="115">
        <f t="shared" si="4"/>
        <v>120756.41</v>
      </c>
      <c r="L33" s="115">
        <f t="shared" si="4"/>
        <v>0</v>
      </c>
      <c r="M33" s="115">
        <f t="shared" si="4"/>
        <v>144077.24</v>
      </c>
      <c r="N33" s="115">
        <f t="shared" si="4"/>
        <v>0</v>
      </c>
      <c r="O33" s="115">
        <f t="shared" si="4"/>
        <v>122267.09</v>
      </c>
      <c r="P33" s="115">
        <f t="shared" si="4"/>
        <v>0</v>
      </c>
      <c r="Q33" s="115">
        <f t="shared" si="4"/>
        <v>81760.240000000005</v>
      </c>
      <c r="R33" s="115">
        <f t="shared" si="4"/>
        <v>0</v>
      </c>
      <c r="S33" s="115">
        <f t="shared" si="4"/>
        <v>68067.33</v>
      </c>
      <c r="T33" s="115">
        <f t="shared" si="4"/>
        <v>0</v>
      </c>
      <c r="U33" s="115">
        <f t="shared" si="4"/>
        <v>61711.68</v>
      </c>
      <c r="V33" s="115">
        <f t="shared" si="4"/>
        <v>0</v>
      </c>
      <c r="W33" s="115">
        <f t="shared" si="4"/>
        <v>0</v>
      </c>
      <c r="X33" s="115">
        <f t="shared" si="4"/>
        <v>0</v>
      </c>
      <c r="Y33" s="115">
        <f t="shared" si="4"/>
        <v>217.78</v>
      </c>
      <c r="Z33" s="115">
        <f t="shared" si="4"/>
        <v>0</v>
      </c>
      <c r="AA33" s="128">
        <f t="shared" si="4"/>
        <v>187710.37</v>
      </c>
      <c r="AB33" s="128">
        <f t="shared" si="4"/>
        <v>0</v>
      </c>
      <c r="AC33" s="128">
        <f t="shared" si="4"/>
        <v>333233.98</v>
      </c>
      <c r="AD33" s="128">
        <f t="shared" si="4"/>
        <v>0</v>
      </c>
      <c r="AE33" s="126">
        <f t="shared" ref="AE33:AL33" si="5">AE35+AE36+AE37+AE38+AE39</f>
        <v>667959.52</v>
      </c>
      <c r="AF33" s="126">
        <f t="shared" si="5"/>
        <v>0</v>
      </c>
      <c r="AG33" s="126">
        <f t="shared" si="5"/>
        <v>94034.71</v>
      </c>
      <c r="AH33" s="126">
        <f t="shared" si="5"/>
        <v>0</v>
      </c>
      <c r="AI33" s="122">
        <f t="shared" si="5"/>
        <v>797761.55</v>
      </c>
      <c r="AJ33" s="122">
        <f t="shared" si="5"/>
        <v>0</v>
      </c>
      <c r="AK33" s="122">
        <v>0</v>
      </c>
      <c r="AL33" s="122">
        <f t="shared" si="5"/>
        <v>0</v>
      </c>
      <c r="AM33" s="122">
        <f>AM35+AM36+AM37+AM38+AM39</f>
        <v>691263.82000000007</v>
      </c>
      <c r="AN33" s="122">
        <f>AN35+AN36+AN37+AN38+AN39</f>
        <v>0</v>
      </c>
      <c r="AO33" s="122">
        <f>AO35+AO36+AO37+AO38+AO39</f>
        <v>0</v>
      </c>
      <c r="AP33" s="122">
        <f>AP35+AP36+AP37+AP38+AP39</f>
        <v>0</v>
      </c>
      <c r="AQ33" s="116">
        <f>AM33/AI33-1</f>
        <v>-0.13349569178910659</v>
      </c>
      <c r="AR33" s="116" t="e">
        <f>AO33/AK33-1</f>
        <v>#DIV/0!</v>
      </c>
    </row>
    <row r="34" spans="1:47" x14ac:dyDescent="0.25">
      <c r="A34" s="113"/>
      <c r="B34" s="114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5"/>
      <c r="AB34" s="125"/>
      <c r="AC34" s="125"/>
      <c r="AD34" s="125"/>
      <c r="AE34" s="127"/>
      <c r="AF34" s="127"/>
      <c r="AG34" s="127"/>
      <c r="AH34" s="127"/>
      <c r="AI34" s="123"/>
      <c r="AJ34" s="123"/>
      <c r="AK34" s="123"/>
      <c r="AL34" s="123"/>
      <c r="AM34" s="123"/>
      <c r="AN34" s="123"/>
      <c r="AO34" s="123"/>
      <c r="AP34" s="123"/>
      <c r="AQ34" s="117"/>
      <c r="AR34" s="117"/>
    </row>
    <row r="35" spans="1:47" ht="45.75" customHeight="1" x14ac:dyDescent="0.25">
      <c r="A35" s="109" t="s">
        <v>11</v>
      </c>
      <c r="B35" s="110"/>
      <c r="C35" s="2"/>
      <c r="D35" s="2"/>
      <c r="E35" s="2">
        <v>35747.5</v>
      </c>
      <c r="F35" s="2"/>
      <c r="G35" s="2"/>
      <c r="H35" s="2"/>
      <c r="I35" s="2"/>
      <c r="J35" s="2"/>
      <c r="K35" s="2">
        <v>120756.41</v>
      </c>
      <c r="L35" s="2"/>
      <c r="M35" s="2">
        <v>144077.24</v>
      </c>
      <c r="N35" s="2"/>
      <c r="O35" s="2">
        <v>122267.09</v>
      </c>
      <c r="P35" s="2"/>
      <c r="Q35" s="2">
        <v>67770.240000000005</v>
      </c>
      <c r="R35" s="2"/>
      <c r="S35" s="2">
        <f>65281.19+2786.14</f>
        <v>68067.33</v>
      </c>
      <c r="T35" s="2"/>
      <c r="U35" s="2">
        <v>61711.68</v>
      </c>
      <c r="V35" s="2"/>
      <c r="W35" s="2"/>
      <c r="X35" s="2"/>
      <c r="Y35" s="2">
        <v>217.78</v>
      </c>
      <c r="Z35" s="2"/>
      <c r="AA35" s="16">
        <v>35</v>
      </c>
      <c r="AB35" s="16"/>
      <c r="AC35" s="16">
        <f>27611.35+117602.07</f>
        <v>145213.42000000001</v>
      </c>
      <c r="AD35" s="13"/>
      <c r="AE35" s="23">
        <f>56332.86+251324.18</f>
        <v>307657.03999999998</v>
      </c>
      <c r="AF35" s="13"/>
      <c r="AG35" s="23">
        <f>3600+90434.71</f>
        <v>94034.71</v>
      </c>
      <c r="AH35" s="23"/>
      <c r="AI35" s="16">
        <f>30567.15+190377.23</f>
        <v>220944.38</v>
      </c>
      <c r="AJ35" s="16"/>
      <c r="AK35" s="16"/>
      <c r="AL35" s="16"/>
      <c r="AM35" s="16">
        <f>47494.08+262253.74</f>
        <v>309747.82</v>
      </c>
      <c r="AN35" s="16"/>
      <c r="AO35" s="16"/>
      <c r="AP35" s="16"/>
      <c r="AQ35" s="24"/>
      <c r="AR35" s="24"/>
    </row>
    <row r="36" spans="1:47" ht="15.75" customHeight="1" x14ac:dyDescent="0.25">
      <c r="A36" s="109" t="s">
        <v>8</v>
      </c>
      <c r="B36" s="1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>
        <v>172262.37</v>
      </c>
      <c r="AB36" s="16"/>
      <c r="AC36" s="16">
        <v>188020.56</v>
      </c>
      <c r="AD36" s="13"/>
      <c r="AE36" s="23">
        <v>225161</v>
      </c>
      <c r="AF36" s="13"/>
      <c r="AG36" s="13"/>
      <c r="AH36" s="13"/>
      <c r="AI36" s="16">
        <v>372715</v>
      </c>
      <c r="AJ36" s="16"/>
      <c r="AK36" s="16"/>
      <c r="AL36" s="16"/>
      <c r="AM36" s="16">
        <v>227170.2</v>
      </c>
      <c r="AN36" s="16"/>
      <c r="AO36" s="16"/>
      <c r="AP36" s="16"/>
      <c r="AQ36" s="24"/>
      <c r="AR36" s="24"/>
    </row>
    <row r="37" spans="1:47" ht="46.5" customHeight="1" x14ac:dyDescent="0.25">
      <c r="A37" s="109" t="s">
        <v>9</v>
      </c>
      <c r="B37" s="1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3"/>
      <c r="AD37" s="13"/>
      <c r="AE37" s="23"/>
      <c r="AF37" s="13"/>
      <c r="AG37" s="13"/>
      <c r="AH37" s="13"/>
      <c r="AI37" s="16"/>
      <c r="AJ37" s="16"/>
      <c r="AK37" s="16"/>
      <c r="AL37" s="16"/>
      <c r="AM37" s="16">
        <v>154302.29999999999</v>
      </c>
      <c r="AN37" s="16"/>
      <c r="AO37" s="16"/>
      <c r="AP37" s="16"/>
      <c r="AQ37" s="24"/>
      <c r="AR37" s="24"/>
    </row>
    <row r="38" spans="1:47" ht="18" customHeight="1" x14ac:dyDescent="0.25">
      <c r="A38" s="109" t="s">
        <v>10</v>
      </c>
      <c r="B38" s="1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13990</v>
      </c>
      <c r="R38" s="2"/>
      <c r="S38" s="2"/>
      <c r="T38" s="2"/>
      <c r="U38" s="2"/>
      <c r="V38" s="2"/>
      <c r="W38" s="2"/>
      <c r="X38" s="2"/>
      <c r="Y38" s="2"/>
      <c r="Z38" s="2"/>
      <c r="AA38" s="16">
        <v>15413</v>
      </c>
      <c r="AB38" s="16"/>
      <c r="AC38" s="13"/>
      <c r="AD38" s="13"/>
      <c r="AE38" s="23">
        <v>135141.48000000001</v>
      </c>
      <c r="AF38" s="13"/>
      <c r="AG38" s="13"/>
      <c r="AH38" s="13"/>
      <c r="AI38" s="16">
        <v>204102.17</v>
      </c>
      <c r="AJ38" s="16"/>
      <c r="AK38" s="16"/>
      <c r="AL38" s="16"/>
      <c r="AM38" s="16"/>
      <c r="AN38" s="16"/>
      <c r="AO38" s="16"/>
      <c r="AP38" s="16"/>
      <c r="AQ38" s="24"/>
      <c r="AR38" s="24"/>
    </row>
    <row r="39" spans="1:47" ht="30.75" customHeight="1" x14ac:dyDescent="0.25">
      <c r="A39" s="109" t="s">
        <v>16</v>
      </c>
      <c r="B39" s="1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3"/>
      <c r="AD39" s="13"/>
      <c r="AE39" s="13"/>
      <c r="AF39" s="13"/>
      <c r="AG39" s="13"/>
      <c r="AH39" s="13"/>
      <c r="AI39" s="16"/>
      <c r="AJ39" s="16"/>
      <c r="AK39" s="16"/>
      <c r="AL39" s="16"/>
      <c r="AM39" s="16">
        <v>43.5</v>
      </c>
      <c r="AN39" s="16"/>
      <c r="AO39" s="16"/>
      <c r="AP39" s="16"/>
      <c r="AQ39" s="24"/>
      <c r="AR39" s="24"/>
    </row>
    <row r="40" spans="1:47" x14ac:dyDescent="0.25">
      <c r="A40" s="111" t="s">
        <v>2</v>
      </c>
      <c r="B40" s="112"/>
      <c r="C40" s="115">
        <v>54846675.530000001</v>
      </c>
      <c r="D40" s="115">
        <v>48940486.590000004</v>
      </c>
      <c r="E40" s="115">
        <f>SUM(E42:E46)</f>
        <v>64656891.350000001</v>
      </c>
      <c r="F40" s="115">
        <f>SUM(F42:F46)</f>
        <v>51440732.669999994</v>
      </c>
      <c r="G40" s="115">
        <f t="shared" ref="G40:AD40" si="6">SUM(G42:G46)</f>
        <v>69207433.140000001</v>
      </c>
      <c r="H40" s="115">
        <f t="shared" si="6"/>
        <v>50454846.649999999</v>
      </c>
      <c r="I40" s="115">
        <f t="shared" si="6"/>
        <v>70742852.230000004</v>
      </c>
      <c r="J40" s="115">
        <f t="shared" si="6"/>
        <v>55024116.890000001</v>
      </c>
      <c r="K40" s="115">
        <f t="shared" si="6"/>
        <v>70605066.099999994</v>
      </c>
      <c r="L40" s="115">
        <f t="shared" si="6"/>
        <v>57943952.730000004</v>
      </c>
      <c r="M40" s="115">
        <f t="shared" si="6"/>
        <v>73371785.549999997</v>
      </c>
      <c r="N40" s="115">
        <f t="shared" si="6"/>
        <v>57519633.82</v>
      </c>
      <c r="O40" s="115">
        <f t="shared" si="6"/>
        <v>69857012.25</v>
      </c>
      <c r="P40" s="115">
        <f t="shared" si="6"/>
        <v>65548817.789999999</v>
      </c>
      <c r="Q40" s="115">
        <f t="shared" si="6"/>
        <v>71509757.569999993</v>
      </c>
      <c r="R40" s="115">
        <f t="shared" si="6"/>
        <v>57862859.439999998</v>
      </c>
      <c r="S40" s="115">
        <f t="shared" si="6"/>
        <v>71486946.959999993</v>
      </c>
      <c r="T40" s="115">
        <f t="shared" si="6"/>
        <v>57789918.439999998</v>
      </c>
      <c r="U40" s="115">
        <f t="shared" si="6"/>
        <v>70592079.479999989</v>
      </c>
      <c r="V40" s="115">
        <f t="shared" si="6"/>
        <v>61579945.239999995</v>
      </c>
      <c r="W40" s="115">
        <f t="shared" si="6"/>
        <v>66866461.460000001</v>
      </c>
      <c r="X40" s="115">
        <f t="shared" si="6"/>
        <v>57735277.960000001</v>
      </c>
      <c r="Y40" s="115">
        <f t="shared" si="6"/>
        <v>103038065.23999999</v>
      </c>
      <c r="Z40" s="115">
        <f t="shared" si="6"/>
        <v>90836160.789999992</v>
      </c>
      <c r="AA40" s="128">
        <f t="shared" si="6"/>
        <v>56387437.119999997</v>
      </c>
      <c r="AB40" s="128">
        <f t="shared" si="6"/>
        <v>15533763.189999999</v>
      </c>
      <c r="AC40" s="128">
        <f t="shared" si="6"/>
        <v>119943838.53</v>
      </c>
      <c r="AD40" s="128">
        <f t="shared" si="6"/>
        <v>72448338.349999994</v>
      </c>
      <c r="AE40" s="126">
        <f t="shared" ref="AE40:AL40" si="7">AE42+AE43+AE44+AE45+AE46</f>
        <v>98597337.969999999</v>
      </c>
      <c r="AF40" s="126">
        <f t="shared" si="7"/>
        <v>28249113.57</v>
      </c>
      <c r="AG40" s="126">
        <f t="shared" si="7"/>
        <v>52538002.529999994</v>
      </c>
      <c r="AH40" s="126">
        <f t="shared" si="7"/>
        <v>0</v>
      </c>
      <c r="AI40" s="122">
        <f t="shared" si="7"/>
        <v>63217359.389999993</v>
      </c>
      <c r="AJ40" s="122">
        <f t="shared" si="7"/>
        <v>27862807.449999999</v>
      </c>
      <c r="AK40" s="122">
        <f t="shared" si="7"/>
        <v>9411597.2899999991</v>
      </c>
      <c r="AL40" s="122">
        <f t="shared" si="7"/>
        <v>0</v>
      </c>
      <c r="AM40" s="122">
        <f>AM42+AM43+AM44+AM45+AM46</f>
        <v>41060360.210000001</v>
      </c>
      <c r="AN40" s="122">
        <f>AN42+AN43+AN44+AN45+AN46</f>
        <v>18083392.23</v>
      </c>
      <c r="AO40" s="122">
        <f>AO42+AO43+AO44+AO45+AO46</f>
        <v>431884</v>
      </c>
      <c r="AP40" s="122">
        <f>AP42+AP43+AP44+AP45+AP46</f>
        <v>0</v>
      </c>
      <c r="AQ40" s="116">
        <f>AM40/AI40-1</f>
        <v>-0.35048915984151163</v>
      </c>
      <c r="AR40" s="116">
        <f>AO40/AK40-1</f>
        <v>-0.95411150873838546</v>
      </c>
    </row>
    <row r="41" spans="1:47" ht="12" customHeight="1" x14ac:dyDescent="0.25">
      <c r="A41" s="113"/>
      <c r="B41" s="114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25"/>
      <c r="AB41" s="125"/>
      <c r="AC41" s="125"/>
      <c r="AD41" s="125"/>
      <c r="AE41" s="127"/>
      <c r="AF41" s="127"/>
      <c r="AG41" s="127"/>
      <c r="AH41" s="127"/>
      <c r="AI41" s="123"/>
      <c r="AJ41" s="123"/>
      <c r="AK41" s="123"/>
      <c r="AL41" s="123"/>
      <c r="AM41" s="123"/>
      <c r="AN41" s="123"/>
      <c r="AO41" s="123"/>
      <c r="AP41" s="123"/>
      <c r="AQ41" s="117"/>
      <c r="AR41" s="117"/>
    </row>
    <row r="42" spans="1:47" ht="43.5" customHeight="1" x14ac:dyDescent="0.25">
      <c r="A42" s="109" t="s">
        <v>11</v>
      </c>
      <c r="B42" s="110"/>
      <c r="C42" s="2"/>
      <c r="D42" s="2"/>
      <c r="E42" s="2">
        <v>10110055.9</v>
      </c>
      <c r="F42" s="2">
        <f>51442088.62-49312861.59</f>
        <v>2129227.0299999937</v>
      </c>
      <c r="G42" s="2">
        <v>10146692.35</v>
      </c>
      <c r="H42" s="2">
        <v>2129227.0299999998</v>
      </c>
      <c r="I42" s="2">
        <v>14616479.76</v>
      </c>
      <c r="J42" s="2">
        <v>2129227.0299999998</v>
      </c>
      <c r="K42" s="2">
        <v>7843217.96</v>
      </c>
      <c r="L42" s="2">
        <v>2129227.0299999998</v>
      </c>
      <c r="M42" s="2">
        <v>7533070</v>
      </c>
      <c r="N42" s="2">
        <v>2129227.0299999998</v>
      </c>
      <c r="O42" s="2">
        <v>6652443.1100000003</v>
      </c>
      <c r="P42" s="2">
        <v>2344248.65</v>
      </c>
      <c r="Q42" s="2">
        <f>8677372.77+42645.25</f>
        <v>8720018.0199999996</v>
      </c>
      <c r="R42" s="2">
        <f>2344248.65</f>
        <v>2344248.65</v>
      </c>
      <c r="S42" s="2">
        <f>69747.65+9218096.72</f>
        <v>9287844.370000001</v>
      </c>
      <c r="T42" s="2">
        <v>2271307.65</v>
      </c>
      <c r="U42" s="2">
        <f>94170.06+10964271.83</f>
        <v>11058441.890000001</v>
      </c>
      <c r="V42" s="2">
        <f>2046307.65</f>
        <v>2046307.65</v>
      </c>
      <c r="W42" s="2">
        <f>11194823.81+98358.34</f>
        <v>11293182.15</v>
      </c>
      <c r="X42" s="2">
        <f>2161998.65</f>
        <v>2161998.65</v>
      </c>
      <c r="Y42" s="2">
        <v>13594212.15</v>
      </c>
      <c r="Z42" s="2">
        <v>4751435.4800000004</v>
      </c>
      <c r="AA42" s="16">
        <f>77325.12+12375433.35</f>
        <v>12452758.469999999</v>
      </c>
      <c r="AB42" s="16">
        <v>1634678.03</v>
      </c>
      <c r="AC42" s="16">
        <f>263374.33+25371454.14</f>
        <v>25634828.469999999</v>
      </c>
      <c r="AD42" s="16">
        <v>7111498.0199999996</v>
      </c>
      <c r="AE42" s="23">
        <f>361338.29+22200823.79</f>
        <v>22562162.079999998</v>
      </c>
      <c r="AF42" s="23">
        <v>1203080.3799999999</v>
      </c>
      <c r="AG42" s="23">
        <f>223320.42+7979287.52</f>
        <v>8202607.9399999995</v>
      </c>
      <c r="AH42" s="13"/>
      <c r="AI42" s="16">
        <f>58898.5+5757823.28+84105.04+8232493.31</f>
        <v>14133320.129999999</v>
      </c>
      <c r="AJ42" s="16">
        <f>58898.5+84105.04</f>
        <v>143003.53999999998</v>
      </c>
      <c r="AK42" s="16">
        <v>1077110.1399999999</v>
      </c>
      <c r="AL42" s="16"/>
      <c r="AM42" s="16">
        <f>6017553.65+6508028.61</f>
        <v>12525582.260000002</v>
      </c>
      <c r="AN42" s="16">
        <f>499597.61+271600.99</f>
        <v>771198.6</v>
      </c>
      <c r="AO42" s="16"/>
      <c r="AP42" s="16"/>
      <c r="AQ42" s="24"/>
      <c r="AR42" s="24"/>
      <c r="AU42" s="30"/>
    </row>
    <row r="43" spans="1:47" ht="18" customHeight="1" x14ac:dyDescent="0.25">
      <c r="A43" s="109" t="s">
        <v>8</v>
      </c>
      <c r="B43" s="1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6">
        <f>774524.11+20097533.72</f>
        <v>20872057.829999998</v>
      </c>
      <c r="AB43" s="16"/>
      <c r="AC43" s="16">
        <f>815882.11+24539657.77</f>
        <v>25355539.879999999</v>
      </c>
      <c r="AD43" s="16"/>
      <c r="AE43" s="23">
        <f>826423.25+23317982.32</f>
        <v>24144405.57</v>
      </c>
      <c r="AF43" s="23">
        <v>16922780.550000001</v>
      </c>
      <c r="AG43" s="23"/>
      <c r="AH43" s="13"/>
      <c r="AI43" s="16">
        <f>6636427.13+2761581.99+10175763.76+5190667.21</f>
        <v>24764440.090000004</v>
      </c>
      <c r="AJ43" s="16">
        <f>6636427.13+10175763.76</f>
        <v>16812190.890000001</v>
      </c>
      <c r="AK43" s="16"/>
      <c r="AL43" s="16"/>
      <c r="AM43" s="16">
        <f>9079269.12+14225636.26</f>
        <v>23304905.379999999</v>
      </c>
      <c r="AN43" s="16">
        <f>6670226.65+10090535.98</f>
        <v>16760762.630000001</v>
      </c>
      <c r="AO43" s="16"/>
      <c r="AP43" s="16"/>
      <c r="AQ43" s="24"/>
      <c r="AR43" s="24"/>
    </row>
    <row r="44" spans="1:47" ht="44.25" customHeight="1" x14ac:dyDescent="0.25">
      <c r="A44" s="109" t="s">
        <v>9</v>
      </c>
      <c r="B44" s="110"/>
      <c r="C44" s="2"/>
      <c r="D44" s="2"/>
      <c r="E44" s="2">
        <v>4317281.3899999997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3356790.95</v>
      </c>
      <c r="Z44" s="2"/>
      <c r="AA44" s="16">
        <f>511757.59+6814505.62</f>
        <v>7326263.21</v>
      </c>
      <c r="AB44" s="16"/>
      <c r="AC44" s="16">
        <f>484038.54+11956133.92</f>
        <v>12440172.459999999</v>
      </c>
      <c r="AD44" s="16">
        <v>10626588</v>
      </c>
      <c r="AE44" s="23">
        <f>871920.5+16450579.56</f>
        <v>17322500.060000002</v>
      </c>
      <c r="AF44" s="23">
        <v>10123252.640000001</v>
      </c>
      <c r="AG44" s="23">
        <f>353493.68+11501508.54</f>
        <v>11855002.219999999</v>
      </c>
      <c r="AH44" s="13"/>
      <c r="AI44" s="16">
        <f>4846101.83+2549979.72+3834472.6+2522828.53</f>
        <v>13753382.68</v>
      </c>
      <c r="AJ44" s="16">
        <f>4846101.83+3834472.6</f>
        <v>8680574.4299999997</v>
      </c>
      <c r="AK44" s="16"/>
      <c r="AL44" s="16"/>
      <c r="AM44" s="16">
        <f>1064268.94+2463970.9</f>
        <v>3528239.84</v>
      </c>
      <c r="AN44" s="16">
        <v>454132.38</v>
      </c>
      <c r="AO44" s="16"/>
      <c r="AP44" s="16"/>
      <c r="AQ44" s="24"/>
      <c r="AR44" s="24"/>
    </row>
    <row r="45" spans="1:47" ht="16.899999999999999" customHeight="1" x14ac:dyDescent="0.25">
      <c r="A45" s="109" t="s">
        <v>10</v>
      </c>
      <c r="B45" s="110"/>
      <c r="C45" s="2"/>
      <c r="D45" s="2"/>
      <c r="E45" s="2">
        <v>50229554.060000002</v>
      </c>
      <c r="F45" s="2">
        <v>49311505.640000001</v>
      </c>
      <c r="G45" s="2">
        <f>54914409.14+4146331.65</f>
        <v>59060740.789999999</v>
      </c>
      <c r="H45" s="2">
        <f>4092516+44233103.62</f>
        <v>48325619.619999997</v>
      </c>
      <c r="I45" s="2">
        <f>4125519+52000853.47</f>
        <v>56126372.469999999</v>
      </c>
      <c r="J45" s="2">
        <f>4092516+48802373.86</f>
        <v>52894889.859999999</v>
      </c>
      <c r="K45" s="2">
        <f>4106722+58655126.14</f>
        <v>62761848.140000001</v>
      </c>
      <c r="L45" s="2">
        <f>4092516+51722209.7</f>
        <v>55814725.700000003</v>
      </c>
      <c r="M45" s="2">
        <f>3726327.65+62112387.9</f>
        <v>65838715.549999997</v>
      </c>
      <c r="N45" s="2">
        <f>51679075.14+3711331.65</f>
        <v>55390406.789999999</v>
      </c>
      <c r="O45" s="2">
        <f>3292052+59912517.14</f>
        <v>63204569.140000001</v>
      </c>
      <c r="P45" s="2">
        <f>3292052+59912517.14</f>
        <v>63204569.140000001</v>
      </c>
      <c r="Q45" s="2">
        <f>59493077.9+3296661.65</f>
        <v>62789739.549999997</v>
      </c>
      <c r="R45" s="2">
        <f>3296661.65+52221949.14</f>
        <v>55518610.789999999</v>
      </c>
      <c r="S45" s="2">
        <f>58887656.94+3311445.65</f>
        <v>62199102.589999996</v>
      </c>
      <c r="T45" s="2">
        <f>3296661.65+52221949.14</f>
        <v>55518610.789999999</v>
      </c>
      <c r="U45" s="2">
        <f>56222191.94+3311445.65</f>
        <v>59533637.589999996</v>
      </c>
      <c r="V45" s="2">
        <f>3311445.65+56222191.94</f>
        <v>59533637.589999996</v>
      </c>
      <c r="W45" s="2">
        <f>1281078.35+54292200.96</f>
        <v>55573279.310000002</v>
      </c>
      <c r="X45" s="2">
        <f>54292200.96+1281078.35</f>
        <v>55573279.310000002</v>
      </c>
      <c r="Y45" s="2">
        <v>55305512.479999997</v>
      </c>
      <c r="Z45" s="2">
        <v>55305512.479999997</v>
      </c>
      <c r="AA45" s="16">
        <v>12430432.640000001</v>
      </c>
      <c r="AB45" s="16">
        <v>12430432.640000001</v>
      </c>
      <c r="AC45" s="16">
        <v>19001954.52</v>
      </c>
      <c r="AD45" s="16">
        <v>19001954.52</v>
      </c>
      <c r="AE45" s="23">
        <f>8958+7347927.08</f>
        <v>7356885.0800000001</v>
      </c>
      <c r="AF45" s="13"/>
      <c r="AG45" s="23">
        <f>8958+6907494.08</f>
        <v>6916452.0800000001</v>
      </c>
      <c r="AH45" s="13"/>
      <c r="AI45" s="16">
        <f>2101880.84+3050643.64</f>
        <v>5152524.4800000004</v>
      </c>
      <c r="AJ45" s="16"/>
      <c r="AK45" s="16">
        <f>2101856.09+3050642.64</f>
        <v>5152498.7300000004</v>
      </c>
      <c r="AL45" s="16"/>
      <c r="AM45" s="16">
        <f>197520+234364</f>
        <v>431884</v>
      </c>
      <c r="AN45" s="16"/>
      <c r="AO45" s="16">
        <f>234364+197520</f>
        <v>431884</v>
      </c>
      <c r="AP45" s="16"/>
      <c r="AQ45" s="24" t="s">
        <v>42</v>
      </c>
      <c r="AR45" s="24"/>
    </row>
    <row r="46" spans="1:47" ht="31.5" customHeight="1" x14ac:dyDescent="0.25">
      <c r="A46" s="109" t="s">
        <v>16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30781549.66</v>
      </c>
      <c r="Z46" s="2">
        <v>30779212.829999998</v>
      </c>
      <c r="AA46" s="16">
        <f>3305399.51+525.46</f>
        <v>3305924.9699999997</v>
      </c>
      <c r="AB46" s="16">
        <v>1468652.52</v>
      </c>
      <c r="AC46" s="16">
        <f>37418429.35+92913.85</f>
        <v>37511343.200000003</v>
      </c>
      <c r="AD46" s="16">
        <v>35708297.810000002</v>
      </c>
      <c r="AE46" s="23">
        <f>27144292.69+67092.49</f>
        <v>27211385.18</v>
      </c>
      <c r="AF46" s="13"/>
      <c r="AG46" s="23">
        <v>25563940.289999999</v>
      </c>
      <c r="AH46" s="13"/>
      <c r="AI46" s="16">
        <f>5363159.41+45867.6+4665</f>
        <v>5413692.0099999998</v>
      </c>
      <c r="AJ46" s="16">
        <f>45867.6+2181170.99</f>
        <v>2227038.5900000003</v>
      </c>
      <c r="AK46" s="16">
        <v>3181988.42</v>
      </c>
      <c r="AL46" s="16"/>
      <c r="AM46" s="16">
        <f>1269748.73</f>
        <v>1269748.73</v>
      </c>
      <c r="AN46" s="16">
        <v>97298.62</v>
      </c>
      <c r="AO46" s="16"/>
      <c r="AP46" s="16"/>
      <c r="AQ46" s="24"/>
      <c r="AR46" s="24"/>
    </row>
    <row r="47" spans="1:47" x14ac:dyDescent="0.25">
      <c r="A47" s="111" t="s">
        <v>3</v>
      </c>
      <c r="B47" s="112"/>
      <c r="C47" s="115">
        <v>-7680.14</v>
      </c>
      <c r="D47" s="115">
        <f>SUM(D49:D53)</f>
        <v>0</v>
      </c>
      <c r="E47" s="115">
        <f t="shared" ref="E47:AD47" si="8">SUM(E49:E53)</f>
        <v>0</v>
      </c>
      <c r="F47" s="115">
        <f t="shared" si="8"/>
        <v>0</v>
      </c>
      <c r="G47" s="115">
        <f t="shared" si="8"/>
        <v>114426.95</v>
      </c>
      <c r="H47" s="115">
        <f t="shared" si="8"/>
        <v>0</v>
      </c>
      <c r="I47" s="115">
        <f t="shared" si="8"/>
        <v>88290.77</v>
      </c>
      <c r="J47" s="115">
        <f t="shared" si="8"/>
        <v>0</v>
      </c>
      <c r="K47" s="115">
        <f t="shared" si="8"/>
        <v>51440.42</v>
      </c>
      <c r="L47" s="115">
        <f t="shared" si="8"/>
        <v>0</v>
      </c>
      <c r="M47" s="115">
        <f t="shared" si="8"/>
        <v>169857.58</v>
      </c>
      <c r="N47" s="115">
        <f t="shared" si="8"/>
        <v>0</v>
      </c>
      <c r="O47" s="115">
        <f t="shared" si="8"/>
        <v>77731.77</v>
      </c>
      <c r="P47" s="115">
        <f t="shared" si="8"/>
        <v>0</v>
      </c>
      <c r="Q47" s="115">
        <f t="shared" si="8"/>
        <v>55035.07</v>
      </c>
      <c r="R47" s="115">
        <f t="shared" si="8"/>
        <v>0</v>
      </c>
      <c r="S47" s="115">
        <f t="shared" si="8"/>
        <v>80513.679999999993</v>
      </c>
      <c r="T47" s="115">
        <f t="shared" si="8"/>
        <v>0</v>
      </c>
      <c r="U47" s="115">
        <f t="shared" si="8"/>
        <v>77945.259999999995</v>
      </c>
      <c r="V47" s="115">
        <f t="shared" si="8"/>
        <v>0</v>
      </c>
      <c r="W47" s="115">
        <f t="shared" si="8"/>
        <v>84064.9</v>
      </c>
      <c r="X47" s="115">
        <f t="shared" si="8"/>
        <v>0</v>
      </c>
      <c r="Y47" s="115">
        <f t="shared" si="8"/>
        <v>0</v>
      </c>
      <c r="Z47" s="115">
        <f t="shared" si="8"/>
        <v>0</v>
      </c>
      <c r="AA47" s="128">
        <f t="shared" si="8"/>
        <v>663721.94999999995</v>
      </c>
      <c r="AB47" s="128">
        <f t="shared" si="8"/>
        <v>0</v>
      </c>
      <c r="AC47" s="128">
        <f t="shared" si="8"/>
        <v>856387.40999999992</v>
      </c>
      <c r="AD47" s="128">
        <f t="shared" si="8"/>
        <v>0</v>
      </c>
      <c r="AE47" s="126">
        <f t="shared" ref="AE47:AL47" si="9">AE49+AE50+AE51+AE52+AE53</f>
        <v>807619</v>
      </c>
      <c r="AF47" s="126">
        <f t="shared" si="9"/>
        <v>0</v>
      </c>
      <c r="AG47" s="126">
        <f t="shared" si="9"/>
        <v>0</v>
      </c>
      <c r="AH47" s="126">
        <f t="shared" si="9"/>
        <v>0</v>
      </c>
      <c r="AI47" s="122">
        <f t="shared" si="9"/>
        <v>1745805.9500000002</v>
      </c>
      <c r="AJ47" s="122">
        <f t="shared" si="9"/>
        <v>0</v>
      </c>
      <c r="AK47" s="122">
        <v>0</v>
      </c>
      <c r="AL47" s="122">
        <f t="shared" si="9"/>
        <v>0</v>
      </c>
      <c r="AM47" s="122">
        <f>AM49+AM50+AM51+AM52+AM53</f>
        <v>1536247.6099999999</v>
      </c>
      <c r="AN47" s="122">
        <f>AN49+AN50+AN51+AN52+AN53</f>
        <v>0</v>
      </c>
      <c r="AO47" s="122">
        <f>AO49+AO50+AO51+AO52+AO53</f>
        <v>0</v>
      </c>
      <c r="AP47" s="122">
        <f>AP49+AP50+AP51+AP52+AP53</f>
        <v>0</v>
      </c>
      <c r="AQ47" s="116">
        <f>AM47/AI47-1</f>
        <v>-0.12003529945581881</v>
      </c>
      <c r="AR47" s="116" t="e">
        <f>AO47/AK47-1</f>
        <v>#DIV/0!</v>
      </c>
    </row>
    <row r="48" spans="1:47" x14ac:dyDescent="0.25">
      <c r="A48" s="113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5"/>
      <c r="AB48" s="125"/>
      <c r="AC48" s="125"/>
      <c r="AD48" s="125"/>
      <c r="AE48" s="127"/>
      <c r="AF48" s="127"/>
      <c r="AG48" s="127"/>
      <c r="AH48" s="127"/>
      <c r="AI48" s="123"/>
      <c r="AJ48" s="123"/>
      <c r="AK48" s="123"/>
      <c r="AL48" s="123"/>
      <c r="AM48" s="123"/>
      <c r="AN48" s="123"/>
      <c r="AO48" s="123"/>
      <c r="AP48" s="123"/>
      <c r="AQ48" s="117"/>
      <c r="AR48" s="117"/>
    </row>
    <row r="49" spans="1:44" ht="42" customHeight="1" x14ac:dyDescent="0.25">
      <c r="A49" s="109" t="s">
        <v>11</v>
      </c>
      <c r="B49" s="110"/>
      <c r="C49" s="2">
        <v>0</v>
      </c>
      <c r="D49" s="2"/>
      <c r="E49" s="2">
        <v>0</v>
      </c>
      <c r="F49" s="2"/>
      <c r="G49" s="2">
        <v>114426.95</v>
      </c>
      <c r="H49" s="2"/>
      <c r="I49" s="2">
        <v>88290.77</v>
      </c>
      <c r="J49" s="2"/>
      <c r="K49" s="2">
        <v>51440.42</v>
      </c>
      <c r="L49" s="2"/>
      <c r="M49" s="2">
        <v>169857.58</v>
      </c>
      <c r="N49" s="2"/>
      <c r="O49" s="2">
        <v>77731.77</v>
      </c>
      <c r="P49" s="2"/>
      <c r="Q49" s="2">
        <v>55035.07</v>
      </c>
      <c r="R49" s="2"/>
      <c r="S49" s="2">
        <v>80513.679999999993</v>
      </c>
      <c r="T49" s="2"/>
      <c r="U49" s="2">
        <v>77945.259999999995</v>
      </c>
      <c r="V49" s="2"/>
      <c r="W49" s="2">
        <v>84064.9</v>
      </c>
      <c r="X49" s="2"/>
      <c r="Y49" s="2"/>
      <c r="Z49" s="2"/>
      <c r="AA49" s="16">
        <v>4839.6099999999997</v>
      </c>
      <c r="AB49" s="16"/>
      <c r="AC49" s="16">
        <v>85242.16</v>
      </c>
      <c r="AD49" s="13"/>
      <c r="AE49" s="23">
        <v>172973.85</v>
      </c>
      <c r="AF49" s="23"/>
      <c r="AG49" s="23"/>
      <c r="AH49" s="23"/>
      <c r="AI49" s="16">
        <f>72200.43+5275.44</f>
        <v>77475.87</v>
      </c>
      <c r="AJ49" s="16"/>
      <c r="AK49" s="16"/>
      <c r="AL49" s="16"/>
      <c r="AM49" s="16">
        <f>257876.86+8656.47</f>
        <v>266533.32999999996</v>
      </c>
      <c r="AN49" s="16"/>
      <c r="AO49" s="16"/>
      <c r="AP49" s="16"/>
      <c r="AQ49" s="24"/>
      <c r="AR49" s="24"/>
    </row>
    <row r="50" spans="1:44" x14ac:dyDescent="0.25">
      <c r="A50" s="109" t="s">
        <v>8</v>
      </c>
      <c r="B50" s="1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6">
        <v>446550.73</v>
      </c>
      <c r="AB50" s="16"/>
      <c r="AC50" s="16">
        <v>451706.16</v>
      </c>
      <c r="AD50" s="13"/>
      <c r="AE50" s="23">
        <v>291019.77</v>
      </c>
      <c r="AF50" s="23"/>
      <c r="AG50" s="23"/>
      <c r="AH50" s="23"/>
      <c r="AI50" s="16">
        <f>696234.36+399212.22</f>
        <v>1095446.58</v>
      </c>
      <c r="AJ50" s="16"/>
      <c r="AK50" s="16"/>
      <c r="AL50" s="16"/>
      <c r="AM50" s="16">
        <f>367474.98+407174.38</f>
        <v>774649.36</v>
      </c>
      <c r="AN50" s="16"/>
      <c r="AO50" s="16"/>
      <c r="AP50" s="16"/>
      <c r="AQ50" s="24"/>
      <c r="AR50" s="24"/>
    </row>
    <row r="51" spans="1:44" ht="45.75" customHeight="1" x14ac:dyDescent="0.25">
      <c r="A51" s="109" t="s">
        <v>9</v>
      </c>
      <c r="B51" s="110"/>
      <c r="C51" s="2">
        <v>0</v>
      </c>
      <c r="D51" s="2"/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6"/>
      <c r="AB51" s="23"/>
      <c r="AC51" s="16">
        <v>319439.09000000003</v>
      </c>
      <c r="AD51" s="13"/>
      <c r="AE51" s="23">
        <v>343625.38</v>
      </c>
      <c r="AF51" s="23"/>
      <c r="AG51" s="23"/>
      <c r="AH51" s="23"/>
      <c r="AI51" s="16">
        <f>340695.57+232187.93</f>
        <v>572883.5</v>
      </c>
      <c r="AJ51" s="16"/>
      <c r="AK51" s="16"/>
      <c r="AL51" s="16"/>
      <c r="AM51" s="16">
        <f>250004.94+188869.98</f>
        <v>438874.92000000004</v>
      </c>
      <c r="AN51" s="16"/>
      <c r="AO51" s="16"/>
      <c r="AP51" s="16"/>
      <c r="AQ51" s="24"/>
      <c r="AR51" s="24"/>
    </row>
    <row r="52" spans="1:44" x14ac:dyDescent="0.25">
      <c r="A52" s="109" t="s">
        <v>10</v>
      </c>
      <c r="B52" s="1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6">
        <v>212331.61</v>
      </c>
      <c r="AB52" s="16"/>
      <c r="AC52" s="16"/>
      <c r="AD52" s="13"/>
      <c r="AE52" s="23"/>
      <c r="AF52" s="23"/>
      <c r="AG52" s="23"/>
      <c r="AH52" s="23"/>
      <c r="AI52" s="16"/>
      <c r="AJ52" s="16"/>
      <c r="AK52" s="16"/>
      <c r="AL52" s="16"/>
      <c r="AM52" s="16"/>
      <c r="AN52" s="16"/>
      <c r="AO52" s="16"/>
      <c r="AP52" s="16"/>
      <c r="AQ52" s="24"/>
      <c r="AR52" s="24"/>
    </row>
    <row r="53" spans="1:44" x14ac:dyDescent="0.25">
      <c r="A53" s="109" t="s">
        <v>16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6"/>
      <c r="AJ53" s="16"/>
      <c r="AK53" s="16"/>
      <c r="AL53" s="16"/>
      <c r="AM53" s="16">
        <v>56190</v>
      </c>
      <c r="AN53" s="16"/>
      <c r="AO53" s="16"/>
      <c r="AP53" s="16"/>
      <c r="AQ53" s="24"/>
      <c r="AR53" s="24"/>
    </row>
    <row r="54" spans="1:44" x14ac:dyDescent="0.25">
      <c r="A54" s="111" t="s">
        <v>19</v>
      </c>
      <c r="B54" s="112"/>
      <c r="C54" s="115">
        <v>24738.76</v>
      </c>
      <c r="D54" s="115">
        <f t="shared" ref="D54:Z54" si="10">SUM(D56:D60)</f>
        <v>0</v>
      </c>
      <c r="E54" s="115">
        <f t="shared" si="10"/>
        <v>162585.41</v>
      </c>
      <c r="F54" s="115">
        <f t="shared" si="10"/>
        <v>0</v>
      </c>
      <c r="G54" s="115">
        <f t="shared" si="10"/>
        <v>2836261.8599999994</v>
      </c>
      <c r="H54" s="115">
        <f t="shared" si="10"/>
        <v>179639.45</v>
      </c>
      <c r="I54" s="115">
        <f t="shared" si="10"/>
        <v>2968161.5</v>
      </c>
      <c r="J54" s="115">
        <f t="shared" si="10"/>
        <v>179639.45</v>
      </c>
      <c r="K54" s="115">
        <f t="shared" si="10"/>
        <v>3579888.6599999997</v>
      </c>
      <c r="L54" s="115">
        <f t="shared" si="10"/>
        <v>179639.45</v>
      </c>
      <c r="M54" s="115">
        <f t="shared" si="10"/>
        <v>2288254.44</v>
      </c>
      <c r="N54" s="115">
        <f t="shared" si="10"/>
        <v>179639.45</v>
      </c>
      <c r="O54" s="115">
        <f t="shared" si="10"/>
        <v>2699902.61</v>
      </c>
      <c r="P54" s="115">
        <f t="shared" si="10"/>
        <v>179639.45</v>
      </c>
      <c r="Q54" s="115">
        <f t="shared" si="10"/>
        <v>2782603.59</v>
      </c>
      <c r="R54" s="115">
        <f t="shared" si="10"/>
        <v>179639.45</v>
      </c>
      <c r="S54" s="115">
        <f t="shared" si="10"/>
        <v>2615855.7999999998</v>
      </c>
      <c r="T54" s="115">
        <f t="shared" si="10"/>
        <v>179639.45</v>
      </c>
      <c r="U54" s="115">
        <f t="shared" si="10"/>
        <v>2483055.5499999998</v>
      </c>
      <c r="V54" s="115">
        <f t="shared" si="10"/>
        <v>142806.04</v>
      </c>
      <c r="W54" s="115">
        <f t="shared" si="10"/>
        <v>2680559.16</v>
      </c>
      <c r="X54" s="115">
        <f t="shared" si="10"/>
        <v>142806.04</v>
      </c>
      <c r="Y54" s="115">
        <f t="shared" si="10"/>
        <v>79878.12999999999</v>
      </c>
      <c r="Z54" s="115">
        <f t="shared" si="10"/>
        <v>0</v>
      </c>
      <c r="AA54" s="128">
        <f>SUM(AA56:AA60)</f>
        <v>2592606.9299999997</v>
      </c>
      <c r="AB54" s="128">
        <f>SUM(AB56:AB60)</f>
        <v>0</v>
      </c>
      <c r="AC54" s="128">
        <f>SUM(AC56:AC60)</f>
        <v>4410926.9800000004</v>
      </c>
      <c r="AD54" s="128">
        <f>SUM(AD56:AD60)</f>
        <v>1508980.59</v>
      </c>
      <c r="AE54" s="126">
        <f t="shared" ref="AE54:AJ54" si="11">AE56+AE57+AE58+AE59+AE60</f>
        <v>6043790.8399999999</v>
      </c>
      <c r="AF54" s="126">
        <f t="shared" si="11"/>
        <v>5996669.2400000002</v>
      </c>
      <c r="AG54" s="126">
        <f t="shared" si="11"/>
        <v>1880593.8800000001</v>
      </c>
      <c r="AH54" s="126">
        <f t="shared" si="11"/>
        <v>1880593.88</v>
      </c>
      <c r="AI54" s="122">
        <f t="shared" si="11"/>
        <v>4401686.4800000004</v>
      </c>
      <c r="AJ54" s="122">
        <f t="shared" si="11"/>
        <v>4300435.1999999993</v>
      </c>
      <c r="AK54" s="122">
        <v>0</v>
      </c>
      <c r="AL54" s="122">
        <v>0</v>
      </c>
      <c r="AM54" s="122">
        <f>AM56+AM57+AM58+AM59+AM60</f>
        <v>5191542.6899999995</v>
      </c>
      <c r="AN54" s="122">
        <f>AN56+AN57+AN58+AN59+AN60</f>
        <v>5067222.0600000005</v>
      </c>
      <c r="AO54" s="122">
        <f>AO56+AO57+AO58+AO59+AO60</f>
        <v>0</v>
      </c>
      <c r="AP54" s="122">
        <f>AP56+AP57+AP58+AP59+AP60</f>
        <v>0</v>
      </c>
      <c r="AQ54" s="116">
        <f>AM54/AI54-1</f>
        <v>0.17944399574773873</v>
      </c>
      <c r="AR54" s="116" t="e">
        <f>AO54/AK54-1</f>
        <v>#DIV/0!</v>
      </c>
    </row>
    <row r="55" spans="1:44" x14ac:dyDescent="0.25">
      <c r="A55" s="113"/>
      <c r="B55" s="11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5"/>
      <c r="AB55" s="125"/>
      <c r="AC55" s="125"/>
      <c r="AD55" s="125"/>
      <c r="AE55" s="127"/>
      <c r="AF55" s="127"/>
      <c r="AG55" s="127"/>
      <c r="AH55" s="127"/>
      <c r="AI55" s="123"/>
      <c r="AJ55" s="123"/>
      <c r="AK55" s="123"/>
      <c r="AL55" s="123"/>
      <c r="AM55" s="123"/>
      <c r="AN55" s="123"/>
      <c r="AO55" s="123"/>
      <c r="AP55" s="123"/>
      <c r="AQ55" s="117"/>
      <c r="AR55" s="117"/>
    </row>
    <row r="56" spans="1:44" ht="43.5" customHeight="1" x14ac:dyDescent="0.25">
      <c r="A56" s="109" t="s">
        <v>11</v>
      </c>
      <c r="B56" s="110"/>
      <c r="C56" s="2"/>
      <c r="D56" s="2"/>
      <c r="E56" s="2">
        <v>162585.41</v>
      </c>
      <c r="F56" s="2"/>
      <c r="G56" s="2">
        <f>410855.69+138863.03</f>
        <v>549718.72</v>
      </c>
      <c r="H56" s="2">
        <v>179639.45</v>
      </c>
      <c r="I56" s="2">
        <f>349786.74+482870.23</f>
        <v>832656.97</v>
      </c>
      <c r="J56" s="2">
        <v>179639.45</v>
      </c>
      <c r="K56" s="2">
        <f>325550.4+256894.84</f>
        <v>582445.24</v>
      </c>
      <c r="L56" s="2">
        <v>179639.45</v>
      </c>
      <c r="M56" s="2">
        <f>32098.35+367708.31</f>
        <v>399806.66</v>
      </c>
      <c r="N56" s="2">
        <v>179639.45</v>
      </c>
      <c r="O56" s="2">
        <f>19053.66+339996.73</f>
        <v>359050.38999999996</v>
      </c>
      <c r="P56" s="2">
        <v>179639.45</v>
      </c>
      <c r="Q56" s="2">
        <f>214101.64+184501.39</f>
        <v>398603.03</v>
      </c>
      <c r="R56" s="2">
        <v>179639.45</v>
      </c>
      <c r="S56" s="2">
        <f>293392.92+82646.26</f>
        <v>376039.18</v>
      </c>
      <c r="T56" s="2">
        <v>179639.45</v>
      </c>
      <c r="U56" s="2">
        <f>18347.3+293392.92</f>
        <v>311740.21999999997</v>
      </c>
      <c r="V56" s="2">
        <f>142806.04</f>
        <v>142806.04</v>
      </c>
      <c r="W56" s="2">
        <f>175124.05+248350.04</f>
        <v>423474.08999999997</v>
      </c>
      <c r="X56" s="2">
        <v>142806.04</v>
      </c>
      <c r="Y56" s="2">
        <v>99147.76</v>
      </c>
      <c r="Z56" s="2"/>
      <c r="AA56" s="16">
        <f>23731.53+27555.65</f>
        <v>51287.18</v>
      </c>
      <c r="AB56" s="16"/>
      <c r="AC56" s="16">
        <f>36698.81+43106.43</f>
        <v>79805.239999999991</v>
      </c>
      <c r="AD56" s="16"/>
      <c r="AE56" s="23">
        <f>AF56+16412.78</f>
        <v>238760.13999999998</v>
      </c>
      <c r="AF56" s="23">
        <f>104792.76+117554.6</f>
        <v>222347.36</v>
      </c>
      <c r="AG56" s="13"/>
      <c r="AH56" s="23"/>
      <c r="AI56" s="16">
        <f>54159.74+22819.27+80774.94</f>
        <v>157753.95000000001</v>
      </c>
      <c r="AJ56" s="29">
        <f>54159.74+22819.27</f>
        <v>76979.009999999995</v>
      </c>
      <c r="AK56" s="16"/>
      <c r="AL56" s="16"/>
      <c r="AM56" s="16">
        <f>39886.38+223462.3+103036</f>
        <v>366384.68</v>
      </c>
      <c r="AN56" s="16">
        <f>39886.38+223462.3</f>
        <v>263348.68</v>
      </c>
      <c r="AO56" s="16"/>
      <c r="AP56" s="16"/>
      <c r="AQ56" s="24"/>
      <c r="AR56" s="24"/>
    </row>
    <row r="57" spans="1:44" x14ac:dyDescent="0.25">
      <c r="A57" s="109" t="s">
        <v>8</v>
      </c>
      <c r="B57" s="110"/>
      <c r="C57" s="2"/>
      <c r="D57" s="2"/>
      <c r="E57" s="2"/>
      <c r="F57" s="2"/>
      <c r="G57" s="2">
        <f>1280106.96+331142.71</f>
        <v>1611249.67</v>
      </c>
      <c r="H57" s="2"/>
      <c r="I57" s="2">
        <f>1112706.33+292125.54</f>
        <v>1404831.87</v>
      </c>
      <c r="J57" s="2"/>
      <c r="K57" s="2">
        <f>1664826.89+424726.47</f>
        <v>2089553.3599999999</v>
      </c>
      <c r="L57" s="2"/>
      <c r="M57" s="2">
        <v>1291836.76</v>
      </c>
      <c r="N57" s="2"/>
      <c r="O57" s="2">
        <f>336869.12+1006180.12</f>
        <v>1343049.24</v>
      </c>
      <c r="P57" s="2"/>
      <c r="Q57" s="2">
        <f>290310.2+1054801</f>
        <v>1345111.2</v>
      </c>
      <c r="R57" s="2"/>
      <c r="S57" s="2">
        <f>210412.6+1031728.18</f>
        <v>1242140.78</v>
      </c>
      <c r="T57" s="2"/>
      <c r="U57" s="2">
        <f>144677.62+1051908.03</f>
        <v>1196585.6499999999</v>
      </c>
      <c r="V57" s="2"/>
      <c r="W57" s="2">
        <f>257630.31+1025805.39</f>
        <v>1283435.7</v>
      </c>
      <c r="X57" s="2"/>
      <c r="Y57" s="2"/>
      <c r="Z57" s="2"/>
      <c r="AA57" s="16">
        <f>367554.1+1092399.95</f>
        <v>1459954.0499999998</v>
      </c>
      <c r="AB57" s="16"/>
      <c r="AC57" s="16">
        <f>413160.07+976030.95</f>
        <v>1389191.02</v>
      </c>
      <c r="AD57" s="16"/>
      <c r="AE57" s="23">
        <f>AF57+20410</f>
        <v>1483828.69</v>
      </c>
      <c r="AF57" s="23">
        <f>399447.7+1063970.99</f>
        <v>1463418.69</v>
      </c>
      <c r="AG57" s="13"/>
      <c r="AH57" s="23"/>
      <c r="AI57" s="16">
        <f>399497.7+11131.38+1854102.36</f>
        <v>2264731.44</v>
      </c>
      <c r="AJ57" s="16">
        <f>399497.7+1854102.36</f>
        <v>2253600.06</v>
      </c>
      <c r="AK57" s="16"/>
      <c r="AL57" s="16"/>
      <c r="AM57" s="16">
        <f>340430.03+13795.87+2355521.94</f>
        <v>2709747.84</v>
      </c>
      <c r="AN57" s="16">
        <f>340430.03+2355521.94</f>
        <v>2695951.9699999997</v>
      </c>
      <c r="AO57" s="16"/>
      <c r="AP57" s="16"/>
      <c r="AQ57" s="24"/>
      <c r="AR57" s="24"/>
    </row>
    <row r="58" spans="1:44" ht="45" customHeight="1" x14ac:dyDescent="0.25">
      <c r="A58" s="109" t="s">
        <v>9</v>
      </c>
      <c r="B58" s="110"/>
      <c r="C58" s="2"/>
      <c r="D58" s="2"/>
      <c r="E58" s="2"/>
      <c r="F58" s="2"/>
      <c r="G58" s="2">
        <f>191330.96+483962.51</f>
        <v>675293.47</v>
      </c>
      <c r="H58" s="2"/>
      <c r="I58" s="2">
        <f>171605.74+559066.92</f>
        <v>730672.66</v>
      </c>
      <c r="J58" s="2"/>
      <c r="K58" s="2">
        <f>209944.24+697945.82</f>
        <v>907890.05999999994</v>
      </c>
      <c r="L58" s="2"/>
      <c r="M58" s="2">
        <v>596611.02</v>
      </c>
      <c r="N58" s="2"/>
      <c r="O58" s="2">
        <f>198862.88+580042.1</f>
        <v>778904.98</v>
      </c>
      <c r="P58" s="2"/>
      <c r="Q58" s="2">
        <f>612669.18+219338.18</f>
        <v>832007.3600000001</v>
      </c>
      <c r="R58" s="2"/>
      <c r="S58" s="2">
        <f>201317.46+630998.38</f>
        <v>832315.84</v>
      </c>
      <c r="T58" s="2"/>
      <c r="U58" s="2">
        <f>184341.93+601701.1</f>
        <v>786043.03</v>
      </c>
      <c r="V58" s="2"/>
      <c r="W58" s="2">
        <f>177715.19+604861.18</f>
        <v>782576.37000000011</v>
      </c>
      <c r="X58" s="2"/>
      <c r="Y58" s="2">
        <v>-9193.7999999999993</v>
      </c>
      <c r="Z58" s="2"/>
      <c r="AA58" s="16">
        <f>254861.86+627161.14</f>
        <v>882023</v>
      </c>
      <c r="AB58" s="16"/>
      <c r="AC58" s="16">
        <f>363441.69+1320113.41</f>
        <v>1683555.0999999999</v>
      </c>
      <c r="AD58" s="16">
        <f>20923.56+643955.03</f>
        <v>664878.59000000008</v>
      </c>
      <c r="AE58" s="23">
        <f>AF58+9183.82</f>
        <v>2863942.15</v>
      </c>
      <c r="AF58" s="23">
        <f>469042.19+2385716.14</f>
        <v>2854758.33</v>
      </c>
      <c r="AG58" s="23">
        <v>1220473.1200000001</v>
      </c>
      <c r="AH58" s="23">
        <f>147655.46+1072817.66</f>
        <v>1220473.1199999999</v>
      </c>
      <c r="AI58" s="16">
        <f>283794.68+8867.96+960334.11</f>
        <v>1252996.75</v>
      </c>
      <c r="AJ58" s="16">
        <f>283794.68+960334.11</f>
        <v>1244128.79</v>
      </c>
      <c r="AK58" s="16"/>
      <c r="AL58" s="16"/>
      <c r="AM58" s="16">
        <f>159330.1+1419389.04+7488.76</f>
        <v>1586207.9000000001</v>
      </c>
      <c r="AN58" s="16">
        <f>159330.1+1419389.04</f>
        <v>1578719.1400000001</v>
      </c>
      <c r="AO58" s="16"/>
      <c r="AP58" s="16"/>
      <c r="AQ58" s="24"/>
      <c r="AR58" s="24"/>
    </row>
    <row r="59" spans="1:44" x14ac:dyDescent="0.25">
      <c r="A59" s="109" t="s">
        <v>10</v>
      </c>
      <c r="B59" s="1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218898</f>
        <v>218898</v>
      </c>
      <c r="P59" s="2"/>
      <c r="Q59" s="2">
        <v>206882</v>
      </c>
      <c r="R59" s="2"/>
      <c r="S59" s="2">
        <v>165360</v>
      </c>
      <c r="T59" s="2"/>
      <c r="U59" s="2">
        <v>188686.65</v>
      </c>
      <c r="V59" s="2"/>
      <c r="W59" s="2">
        <f>191073</f>
        <v>191073</v>
      </c>
      <c r="X59" s="2"/>
      <c r="Y59" s="2">
        <v>-12759</v>
      </c>
      <c r="Z59" s="2"/>
      <c r="AA59" s="16"/>
      <c r="AB59" s="16"/>
      <c r="AC59" s="16"/>
      <c r="AD59" s="16"/>
      <c r="AE59" s="23">
        <f>AF59+1115</f>
        <v>94671.360000000001</v>
      </c>
      <c r="AF59" s="23">
        <v>93556.36</v>
      </c>
      <c r="AG59" s="23"/>
      <c r="AH59" s="23"/>
      <c r="AI59" s="16">
        <f>92285.57+477</f>
        <v>92762.57</v>
      </c>
      <c r="AJ59" s="16">
        <v>92285.57</v>
      </c>
      <c r="AK59" s="16"/>
      <c r="AL59" s="16"/>
      <c r="AM59" s="16"/>
      <c r="AN59" s="16"/>
      <c r="AO59" s="16"/>
      <c r="AP59" s="16"/>
      <c r="AQ59" s="24"/>
      <c r="AR59" s="24"/>
    </row>
    <row r="60" spans="1:44" x14ac:dyDescent="0.25">
      <c r="A60" s="109" t="s">
        <v>16</v>
      </c>
      <c r="B60" s="1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2683.17</v>
      </c>
      <c r="Z60" s="2"/>
      <c r="AA60" s="16">
        <v>199342.7</v>
      </c>
      <c r="AB60" s="16"/>
      <c r="AC60" s="16">
        <f>1258375.62</f>
        <v>1258375.6200000001</v>
      </c>
      <c r="AD60" s="16">
        <v>844102</v>
      </c>
      <c r="AE60" s="23">
        <f>AF60</f>
        <v>1362588.5</v>
      </c>
      <c r="AF60" s="23">
        <v>1362588.5</v>
      </c>
      <c r="AG60" s="23">
        <v>660120.76</v>
      </c>
      <c r="AH60" s="23">
        <v>660120.76</v>
      </c>
      <c r="AI60" s="16">
        <f>633441.77</f>
        <v>633441.77</v>
      </c>
      <c r="AJ60" s="16">
        <v>633441.77</v>
      </c>
      <c r="AK60" s="16"/>
      <c r="AL60" s="16"/>
      <c r="AM60" s="16">
        <v>529202.27</v>
      </c>
      <c r="AN60" s="16">
        <v>529202.27</v>
      </c>
      <c r="AO60" s="16"/>
      <c r="AP60" s="16"/>
      <c r="AQ60" s="24"/>
      <c r="AR60" s="24"/>
    </row>
    <row r="61" spans="1:44" x14ac:dyDescent="0.25">
      <c r="A61" s="111" t="s">
        <v>17</v>
      </c>
      <c r="B61" s="112"/>
      <c r="C61" s="115">
        <v>10765845.27</v>
      </c>
      <c r="D61" s="115">
        <v>7171240.7400000002</v>
      </c>
      <c r="E61" s="115">
        <f>SUM(E63:E67)</f>
        <v>13066265.32</v>
      </c>
      <c r="F61" s="115">
        <f>SUM(F63:F67)</f>
        <v>9363054.25</v>
      </c>
      <c r="G61" s="115">
        <f t="shared" ref="G61:AC61" si="12">SUM(G63:G67)</f>
        <v>12452961.670000002</v>
      </c>
      <c r="H61" s="115">
        <f t="shared" si="12"/>
        <v>10697359.270000001</v>
      </c>
      <c r="I61" s="115">
        <f t="shared" si="12"/>
        <v>10509503.82</v>
      </c>
      <c r="J61" s="115">
        <f t="shared" si="12"/>
        <v>9311032.910000002</v>
      </c>
      <c r="K61" s="115">
        <f t="shared" si="12"/>
        <v>9816963.7700000014</v>
      </c>
      <c r="L61" s="115">
        <f t="shared" si="12"/>
        <v>9514146.0000000019</v>
      </c>
      <c r="M61" s="115">
        <f t="shared" si="12"/>
        <v>10491903.119999999</v>
      </c>
      <c r="N61" s="115">
        <f t="shared" si="12"/>
        <v>10223094.629999999</v>
      </c>
      <c r="O61" s="115">
        <f t="shared" si="12"/>
        <v>11041075.82</v>
      </c>
      <c r="P61" s="115">
        <f t="shared" si="12"/>
        <v>9852688.540000001</v>
      </c>
      <c r="Q61" s="115">
        <f t="shared" si="12"/>
        <v>11491967.560000001</v>
      </c>
      <c r="R61" s="115">
        <f t="shared" si="12"/>
        <v>9865070.0600000005</v>
      </c>
      <c r="S61" s="115">
        <f t="shared" si="12"/>
        <v>12060303.5</v>
      </c>
      <c r="T61" s="115">
        <f t="shared" si="12"/>
        <v>10862190.040000001</v>
      </c>
      <c r="U61" s="115">
        <f t="shared" si="12"/>
        <v>11619250.300000001</v>
      </c>
      <c r="V61" s="115">
        <f t="shared" si="12"/>
        <v>9816511.040000001</v>
      </c>
      <c r="W61" s="115">
        <f t="shared" si="12"/>
        <v>11514591.1</v>
      </c>
      <c r="X61" s="115">
        <f t="shared" si="12"/>
        <v>10293165.02</v>
      </c>
      <c r="Y61" s="115">
        <f t="shared" si="12"/>
        <v>14972637.870000001</v>
      </c>
      <c r="Z61" s="115">
        <f t="shared" si="12"/>
        <v>11006589.689999999</v>
      </c>
      <c r="AA61" s="128">
        <f t="shared" si="12"/>
        <v>11434380.700000001</v>
      </c>
      <c r="AB61" s="128">
        <f t="shared" si="12"/>
        <v>1118646.56</v>
      </c>
      <c r="AC61" s="128">
        <f t="shared" si="12"/>
        <v>20378851.969999999</v>
      </c>
      <c r="AD61" s="128">
        <f t="shared" ref="AD61:AK61" si="13">AD63+AD64+AD65+AD66+AD67</f>
        <v>6845671.4899999993</v>
      </c>
      <c r="AE61" s="126">
        <f t="shared" si="13"/>
        <v>21821924</v>
      </c>
      <c r="AF61" s="126">
        <f t="shared" si="13"/>
        <v>1624721</v>
      </c>
      <c r="AG61" s="126">
        <f t="shared" si="13"/>
        <v>8640587.1999999993</v>
      </c>
      <c r="AH61" s="126">
        <f t="shared" si="13"/>
        <v>0</v>
      </c>
      <c r="AI61" s="122">
        <f t="shared" si="13"/>
        <v>16329235.25</v>
      </c>
      <c r="AJ61" s="122">
        <v>0</v>
      </c>
      <c r="AK61" s="122">
        <f t="shared" si="13"/>
        <v>5018242.82</v>
      </c>
      <c r="AL61" s="122">
        <v>0</v>
      </c>
      <c r="AM61" s="122">
        <f>AM63+AM64+AM65+AM66+AM67</f>
        <v>15971577.82</v>
      </c>
      <c r="AN61" s="122">
        <f>AN63+AN64+AN65+AN66+AN67</f>
        <v>0</v>
      </c>
      <c r="AO61" s="122">
        <f>AO63+AO64+AO65+AO66+AO67</f>
        <v>2700000</v>
      </c>
      <c r="AP61" s="122">
        <f>AP63+AP64+AP65+AP66+AP67</f>
        <v>0</v>
      </c>
      <c r="AQ61" s="116">
        <f>AM61/AI61-1</f>
        <v>-2.1902889175413165E-2</v>
      </c>
      <c r="AR61" s="116">
        <f>AO61/AK61-1</f>
        <v>-0.46196306220192029</v>
      </c>
    </row>
    <row r="62" spans="1:44" x14ac:dyDescent="0.25">
      <c r="A62" s="113"/>
      <c r="B62" s="11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25"/>
      <c r="AB62" s="125"/>
      <c r="AC62" s="125"/>
      <c r="AD62" s="125"/>
      <c r="AE62" s="127"/>
      <c r="AF62" s="127"/>
      <c r="AG62" s="127"/>
      <c r="AH62" s="127"/>
      <c r="AI62" s="123"/>
      <c r="AJ62" s="123"/>
      <c r="AK62" s="123"/>
      <c r="AL62" s="123"/>
      <c r="AM62" s="123"/>
      <c r="AN62" s="123"/>
      <c r="AO62" s="123"/>
      <c r="AP62" s="123"/>
      <c r="AQ62" s="117"/>
      <c r="AR62" s="117"/>
    </row>
    <row r="63" spans="1:44" ht="43.5" customHeight="1" x14ac:dyDescent="0.25">
      <c r="A63" s="109" t="s">
        <v>11</v>
      </c>
      <c r="B63" s="110"/>
      <c r="C63" s="2"/>
      <c r="D63" s="2"/>
      <c r="E63" s="2">
        <v>1445875.56</v>
      </c>
      <c r="F63" s="2">
        <v>504057.32</v>
      </c>
      <c r="G63" s="2">
        <f>15780.83+1401592.32</f>
        <v>1417373.1500000001</v>
      </c>
      <c r="H63" s="2">
        <f>497307.75</f>
        <v>497307.75</v>
      </c>
      <c r="I63" s="2">
        <f>14359.15+1094634.15</f>
        <v>1108993.2999999998</v>
      </c>
      <c r="J63" s="2">
        <v>581610.39</v>
      </c>
      <c r="K63" s="2">
        <f>45290.3+812014.95</f>
        <v>857305.25</v>
      </c>
      <c r="L63" s="2">
        <v>554487.48</v>
      </c>
      <c r="M63" s="2">
        <f>22392+828113.09</f>
        <v>850505.09</v>
      </c>
      <c r="N63" s="2">
        <f>581696.6</f>
        <v>581696.6</v>
      </c>
      <c r="O63" s="2">
        <f>24207.15+1590490.12</f>
        <v>1614697.27</v>
      </c>
      <c r="P63" s="2">
        <f>484794.48</f>
        <v>484794.48</v>
      </c>
      <c r="Q63" s="2">
        <v>1906086.62</v>
      </c>
      <c r="R63" s="2"/>
      <c r="S63" s="2">
        <f>23600.15+1705289.54</f>
        <v>1728889.69</v>
      </c>
      <c r="T63" s="2">
        <v>530776.23</v>
      </c>
      <c r="U63" s="2">
        <f>2268996.34+30919.15</f>
        <v>2299915.4899999998</v>
      </c>
      <c r="V63" s="2">
        <v>497176.23</v>
      </c>
      <c r="W63" s="2">
        <f>2127960.81+48959.2</f>
        <v>2176920.0100000002</v>
      </c>
      <c r="X63" s="2">
        <v>955493.93</v>
      </c>
      <c r="Y63" s="2">
        <v>2219644.2799999998</v>
      </c>
      <c r="Z63" s="2">
        <f>782752.86</f>
        <v>782752.86</v>
      </c>
      <c r="AA63" s="16">
        <f>25455.33+3676740.99</f>
        <v>3702196.3200000003</v>
      </c>
      <c r="AB63" s="16">
        <v>370926</v>
      </c>
      <c r="AC63" s="16">
        <f>25119.87+10218497.79</f>
        <v>10243617.659999998</v>
      </c>
      <c r="AD63" s="16">
        <v>3812324.48</v>
      </c>
      <c r="AE63" s="23">
        <f>92866+7505896.09</f>
        <v>7598762.0899999999</v>
      </c>
      <c r="AF63" s="23">
        <v>1624721</v>
      </c>
      <c r="AG63" s="23">
        <v>1546341.78</v>
      </c>
      <c r="AH63" s="13"/>
      <c r="AI63" s="16">
        <f>36469.87+5446750.25</f>
        <v>5483220.1200000001</v>
      </c>
      <c r="AJ63" s="33">
        <v>0</v>
      </c>
      <c r="AK63" s="16">
        <v>2700000</v>
      </c>
      <c r="AL63" s="16">
        <v>0</v>
      </c>
      <c r="AM63" s="16">
        <f>9319.38+6806782</f>
        <v>6816101.3799999999</v>
      </c>
      <c r="AN63" s="16"/>
      <c r="AO63" s="16">
        <v>2700000</v>
      </c>
      <c r="AP63" s="16"/>
      <c r="AQ63" s="24"/>
      <c r="AR63" s="24"/>
    </row>
    <row r="64" spans="1:44" x14ac:dyDescent="0.25">
      <c r="A64" s="109" t="s">
        <v>8</v>
      </c>
      <c r="B64" s="1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107414.79</v>
      </c>
      <c r="R64" s="2"/>
      <c r="S64" s="2"/>
      <c r="T64" s="2"/>
      <c r="U64" s="2"/>
      <c r="V64" s="2"/>
      <c r="W64" s="2"/>
      <c r="X64" s="2"/>
      <c r="Y64" s="2"/>
      <c r="Z64" s="2"/>
      <c r="AA64" s="16">
        <f>240366.78+3338386.23</f>
        <v>3578753.01</v>
      </c>
      <c r="AB64" s="16"/>
      <c r="AC64" s="16">
        <f>213303.85+3570475.36</f>
        <v>3783779.21</v>
      </c>
      <c r="AD64" s="16"/>
      <c r="AE64" s="23">
        <f>1048316.56+3892857.12</f>
        <v>4941173.68</v>
      </c>
      <c r="AF64" s="13"/>
      <c r="AG64" s="23"/>
      <c r="AH64" s="13"/>
      <c r="AI64" s="16">
        <f>1013379.37+4504888.09</f>
        <v>5518267.46</v>
      </c>
      <c r="AJ64" s="16"/>
      <c r="AK64" s="16"/>
      <c r="AL64" s="16"/>
      <c r="AM64" s="16">
        <f>1338157.45+5108205.56</f>
        <v>6446363.0099999998</v>
      </c>
      <c r="AN64" s="16"/>
      <c r="AO64" s="16"/>
      <c r="AP64" s="16"/>
      <c r="AQ64" s="24"/>
      <c r="AR64" s="24"/>
    </row>
    <row r="65" spans="1:44" ht="46.5" customHeight="1" x14ac:dyDescent="0.25">
      <c r="A65" s="109" t="s">
        <v>9</v>
      </c>
      <c r="B65" s="110"/>
      <c r="C65" s="2"/>
      <c r="D65" s="2"/>
      <c r="E65" s="2">
        <v>1463841.51</v>
      </c>
      <c r="F65" s="2"/>
      <c r="G65" s="2">
        <v>166700</v>
      </c>
      <c r="H65" s="2"/>
      <c r="I65" s="2"/>
      <c r="J65" s="2"/>
      <c r="K65" s="2"/>
      <c r="L65" s="2"/>
      <c r="M65" s="2"/>
      <c r="N65" s="2"/>
      <c r="O65" s="2">
        <v>27151.16</v>
      </c>
      <c r="P65" s="2"/>
      <c r="Q65" s="2">
        <v>78572.100000000006</v>
      </c>
      <c r="R65" s="2"/>
      <c r="S65" s="2"/>
      <c r="T65" s="2"/>
      <c r="U65" s="2"/>
      <c r="V65" s="2"/>
      <c r="W65" s="2"/>
      <c r="X65" s="2"/>
      <c r="Y65" s="2">
        <v>1439851.12</v>
      </c>
      <c r="Z65" s="2"/>
      <c r="AA65" s="16">
        <f>182858.49+1828141.64</f>
        <v>2011000.13</v>
      </c>
      <c r="AB65" s="16"/>
      <c r="AC65" s="16">
        <f>194574.38+2050743.86</f>
        <v>2245318.2400000002</v>
      </c>
      <c r="AD65" s="16"/>
      <c r="AE65" s="23">
        <f>763510.32+2959710.97+0.85</f>
        <v>3723222.14</v>
      </c>
      <c r="AF65" s="13"/>
      <c r="AG65" s="23">
        <f>317932.16+1222488.09</f>
        <v>1540420.25</v>
      </c>
      <c r="AH65" s="13"/>
      <c r="AI65" s="16">
        <f>840855.82+2166721.03</f>
        <v>3007576.8499999996</v>
      </c>
      <c r="AJ65" s="16"/>
      <c r="AK65" s="16"/>
      <c r="AL65" s="16"/>
      <c r="AM65" s="16">
        <f>487168.3+1962377.13</f>
        <v>2449545.4299999997</v>
      </c>
      <c r="AN65" s="16"/>
      <c r="AO65" s="16"/>
      <c r="AP65" s="16"/>
      <c r="AQ65" s="24"/>
      <c r="AR65" s="24"/>
    </row>
    <row r="66" spans="1:44" x14ac:dyDescent="0.25">
      <c r="A66" s="109" t="s">
        <v>10</v>
      </c>
      <c r="B66" s="110"/>
      <c r="C66" s="2"/>
      <c r="D66" s="2"/>
      <c r="E66" s="2">
        <v>10156548.25</v>
      </c>
      <c r="F66" s="2">
        <v>8858996.9299999997</v>
      </c>
      <c r="G66" s="2">
        <f>317.3+10868571.22</f>
        <v>10868888.520000001</v>
      </c>
      <c r="H66" s="2">
        <f>10199734.22+317.3</f>
        <v>10200051.520000001</v>
      </c>
      <c r="I66" s="2">
        <f>317.3+9400193.22</f>
        <v>9400510.5200000014</v>
      </c>
      <c r="J66" s="2">
        <f>317.3+8729105.22</f>
        <v>8729422.5200000014</v>
      </c>
      <c r="K66" s="2">
        <f>317.3+8959341.22</f>
        <v>8959658.5200000014</v>
      </c>
      <c r="L66" s="2">
        <f>317.3+8959341.22</f>
        <v>8959658.5200000014</v>
      </c>
      <c r="M66" s="2">
        <v>9641398.0299999993</v>
      </c>
      <c r="N66" s="2">
        <v>9641398.0299999993</v>
      </c>
      <c r="O66" s="2">
        <f>9367894.06</f>
        <v>9367894.0600000005</v>
      </c>
      <c r="P66" s="2">
        <f>9367894.06</f>
        <v>9367894.0600000005</v>
      </c>
      <c r="Q66" s="2">
        <f>9367894.06</f>
        <v>9367894.0600000005</v>
      </c>
      <c r="R66" s="2">
        <v>9865070.0600000005</v>
      </c>
      <c r="S66" s="2">
        <v>10331413.810000001</v>
      </c>
      <c r="T66" s="2">
        <v>10331413.810000001</v>
      </c>
      <c r="U66" s="2">
        <v>9319334.8100000005</v>
      </c>
      <c r="V66" s="2">
        <v>9319334.8100000005</v>
      </c>
      <c r="W66" s="2">
        <f>9337671.09</f>
        <v>9337671.0899999999</v>
      </c>
      <c r="X66" s="2">
        <v>9337671.0899999999</v>
      </c>
      <c r="Y66" s="2">
        <v>11178667.26</v>
      </c>
      <c r="Z66" s="2">
        <v>10089361.619999999</v>
      </c>
      <c r="AA66" s="16">
        <f>41557.97+1353152.71</f>
        <v>1394710.68</v>
      </c>
      <c r="AB66" s="16"/>
      <c r="AC66" s="16">
        <f>79834.83+2444326.98</f>
        <v>2524161.81</v>
      </c>
      <c r="AD66" s="16">
        <v>1451371.96</v>
      </c>
      <c r="AE66" s="23">
        <f>15039+567180.92</f>
        <v>582219.92000000004</v>
      </c>
      <c r="AF66" s="13"/>
      <c r="AG66" s="23">
        <f>15039+562240</f>
        <v>577279</v>
      </c>
      <c r="AH66" s="13"/>
      <c r="AI66" s="16">
        <v>497002</v>
      </c>
      <c r="AJ66" s="16"/>
      <c r="AK66" s="16">
        <v>495074</v>
      </c>
      <c r="AL66" s="16"/>
      <c r="AM66" s="16">
        <v>259568</v>
      </c>
      <c r="AN66" s="16"/>
      <c r="AO66" s="16"/>
      <c r="AP66" s="16"/>
      <c r="AQ66" s="24"/>
      <c r="AR66" s="24"/>
    </row>
    <row r="67" spans="1:44" x14ac:dyDescent="0.25">
      <c r="A67" s="109" t="s">
        <v>16</v>
      </c>
      <c r="B67" s="1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31333.33</v>
      </c>
      <c r="P67" s="2"/>
      <c r="Q67" s="2">
        <v>31999.99</v>
      </c>
      <c r="R67" s="2"/>
      <c r="S67" s="2"/>
      <c r="T67" s="2"/>
      <c r="U67" s="2"/>
      <c r="V67" s="2"/>
      <c r="W67" s="2"/>
      <c r="X67" s="2"/>
      <c r="Y67" s="2">
        <v>134475.21</v>
      </c>
      <c r="Z67" s="2">
        <v>134475.21</v>
      </c>
      <c r="AA67" s="16">
        <v>747720.56</v>
      </c>
      <c r="AB67" s="16">
        <v>747720.56</v>
      </c>
      <c r="AC67" s="16">
        <v>1581975.05</v>
      </c>
      <c r="AD67" s="16">
        <v>1581975.05</v>
      </c>
      <c r="AE67" s="23">
        <v>4976546.17</v>
      </c>
      <c r="AF67" s="13"/>
      <c r="AG67" s="23">
        <v>4976546.17</v>
      </c>
      <c r="AH67" s="13"/>
      <c r="AI67" s="16">
        <v>1823168.82</v>
      </c>
      <c r="AJ67" s="16"/>
      <c r="AK67" s="16">
        <v>1823168.82</v>
      </c>
      <c r="AL67" s="16"/>
      <c r="AM67" s="16"/>
      <c r="AN67" s="16"/>
      <c r="AO67" s="16"/>
      <c r="AP67" s="16"/>
      <c r="AQ67" s="24"/>
      <c r="AR67" s="24"/>
    </row>
    <row r="68" spans="1:44" hidden="1" x14ac:dyDescent="0.25">
      <c r="A68" s="111" t="s">
        <v>4</v>
      </c>
      <c r="B68" s="112"/>
      <c r="C68" s="115">
        <v>654159.29</v>
      </c>
      <c r="D68" s="115">
        <f>SUM(D70:D74)</f>
        <v>0</v>
      </c>
      <c r="E68" s="115">
        <f t="shared" ref="E68:Z68" si="14">SUM(E70:E74)</f>
        <v>159427.71</v>
      </c>
      <c r="F68" s="115">
        <f t="shared" si="14"/>
        <v>156150</v>
      </c>
      <c r="G68" s="115">
        <f t="shared" si="14"/>
        <v>166323.26</v>
      </c>
      <c r="H68" s="115">
        <f t="shared" si="14"/>
        <v>156150</v>
      </c>
      <c r="I68" s="115">
        <f t="shared" si="14"/>
        <v>158187.54</v>
      </c>
      <c r="J68" s="115">
        <f t="shared" si="14"/>
        <v>156150</v>
      </c>
      <c r="K68" s="115">
        <f t="shared" si="14"/>
        <v>157389.10999999999</v>
      </c>
      <c r="L68" s="115">
        <f t="shared" si="14"/>
        <v>156150</v>
      </c>
      <c r="M68" s="115">
        <f t="shared" si="14"/>
        <v>162310.56</v>
      </c>
      <c r="N68" s="115">
        <f t="shared" si="14"/>
        <v>156150</v>
      </c>
      <c r="O68" s="115">
        <f t="shared" si="14"/>
        <v>158206.72</v>
      </c>
      <c r="P68" s="115">
        <f t="shared" si="14"/>
        <v>156150</v>
      </c>
      <c r="Q68" s="115">
        <f t="shared" si="14"/>
        <v>162910.32999999999</v>
      </c>
      <c r="R68" s="115">
        <f t="shared" si="14"/>
        <v>156150</v>
      </c>
      <c r="S68" s="115">
        <f t="shared" si="14"/>
        <v>159608.60999999999</v>
      </c>
      <c r="T68" s="115">
        <f t="shared" si="14"/>
        <v>156150</v>
      </c>
      <c r="U68" s="115">
        <f t="shared" si="14"/>
        <v>157986.35</v>
      </c>
      <c r="V68" s="115">
        <f t="shared" si="14"/>
        <v>156150</v>
      </c>
      <c r="W68" s="115">
        <f t="shared" si="14"/>
        <v>159926.9</v>
      </c>
      <c r="X68" s="115">
        <f t="shared" si="14"/>
        <v>156150</v>
      </c>
      <c r="Y68" s="115">
        <f t="shared" si="14"/>
        <v>0</v>
      </c>
      <c r="Z68" s="115">
        <f t="shared" si="14"/>
        <v>0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129">
        <f>Y68/E68-1</f>
        <v>-1</v>
      </c>
      <c r="AR68" s="129">
        <f>Z68/F68-1</f>
        <v>-1</v>
      </c>
    </row>
    <row r="69" spans="1:44" hidden="1" x14ac:dyDescent="0.25">
      <c r="A69" s="113"/>
      <c r="B69" s="11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130"/>
      <c r="AR69" s="130"/>
    </row>
    <row r="70" spans="1:44" hidden="1" x14ac:dyDescent="0.25">
      <c r="A70" s="109" t="s">
        <v>11</v>
      </c>
      <c r="B70" s="110"/>
      <c r="C70" s="2"/>
      <c r="D70" s="2"/>
      <c r="E70" s="2">
        <v>2936.71</v>
      </c>
      <c r="F70" s="2"/>
      <c r="G70" s="2">
        <v>10173.26</v>
      </c>
      <c r="H70" s="2"/>
      <c r="I70" s="2">
        <v>2037.54</v>
      </c>
      <c r="J70" s="2"/>
      <c r="K70" s="2">
        <v>1239.1099999999999</v>
      </c>
      <c r="L70" s="2"/>
      <c r="M70" s="2">
        <v>6160.56</v>
      </c>
      <c r="N70" s="2"/>
      <c r="O70" s="2">
        <v>2056.7199999999998</v>
      </c>
      <c r="P70" s="2"/>
      <c r="Q70" s="2">
        <v>4968.33</v>
      </c>
      <c r="R70" s="2"/>
      <c r="S70" s="2">
        <v>3458.61</v>
      </c>
      <c r="T70" s="2"/>
      <c r="U70" s="2">
        <v>1836.35</v>
      </c>
      <c r="V70" s="2"/>
      <c r="W70" s="2">
        <v>3776.9</v>
      </c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idden="1" x14ac:dyDescent="0.25">
      <c r="A71" s="109" t="s">
        <v>8</v>
      </c>
      <c r="B71" s="1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1"/>
      <c r="AR71" s="31"/>
    </row>
    <row r="72" spans="1:44" hidden="1" x14ac:dyDescent="0.25">
      <c r="A72" s="109" t="s">
        <v>9</v>
      </c>
      <c r="B72" s="110"/>
      <c r="C72" s="2"/>
      <c r="D72" s="2"/>
      <c r="E72" s="2">
        <v>-10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1"/>
      <c r="AR72" s="31"/>
    </row>
    <row r="73" spans="1:44" hidden="1" x14ac:dyDescent="0.25">
      <c r="A73" s="109" t="s">
        <v>10</v>
      </c>
      <c r="B73" s="110"/>
      <c r="C73" s="2"/>
      <c r="D73" s="2"/>
      <c r="E73" s="2">
        <v>351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1792</v>
      </c>
      <c r="R73" s="2"/>
      <c r="S73" s="2"/>
      <c r="T73" s="2"/>
      <c r="U73" s="2"/>
      <c r="V73" s="2"/>
      <c r="W73" s="2"/>
      <c r="X73" s="2"/>
      <c r="Y73" s="2"/>
      <c r="Z73" s="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1"/>
      <c r="AR73" s="31"/>
    </row>
    <row r="74" spans="1:44" hidden="1" x14ac:dyDescent="0.25">
      <c r="A74" s="109" t="s">
        <v>16</v>
      </c>
      <c r="B74" s="110"/>
      <c r="C74" s="2"/>
      <c r="D74" s="2"/>
      <c r="E74" s="2">
        <v>156150</v>
      </c>
      <c r="F74" s="2">
        <v>156150</v>
      </c>
      <c r="G74" s="2">
        <v>156150</v>
      </c>
      <c r="H74" s="2">
        <v>156150</v>
      </c>
      <c r="I74" s="2">
        <v>156150</v>
      </c>
      <c r="J74" s="2">
        <v>156150</v>
      </c>
      <c r="K74" s="2">
        <v>156150</v>
      </c>
      <c r="L74" s="2">
        <v>156150</v>
      </c>
      <c r="M74" s="2">
        <v>156150</v>
      </c>
      <c r="N74" s="2">
        <v>156150</v>
      </c>
      <c r="O74" s="2">
        <v>156150</v>
      </c>
      <c r="P74" s="2">
        <v>156150</v>
      </c>
      <c r="Q74" s="2">
        <v>156150</v>
      </c>
      <c r="R74" s="2">
        <v>156150</v>
      </c>
      <c r="S74" s="2">
        <v>156150</v>
      </c>
      <c r="T74" s="2">
        <v>156150</v>
      </c>
      <c r="U74" s="2">
        <v>156150</v>
      </c>
      <c r="V74" s="2">
        <v>156150</v>
      </c>
      <c r="W74" s="2">
        <v>156150</v>
      </c>
      <c r="X74" s="2">
        <v>156150</v>
      </c>
      <c r="Y74" s="2">
        <v>0</v>
      </c>
      <c r="Z74" s="2">
        <v>0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11" t="s">
        <v>18</v>
      </c>
      <c r="B75" s="112"/>
      <c r="C75" s="107">
        <v>10829169.880000001</v>
      </c>
      <c r="D75" s="107">
        <f>1640975.89+2975186.97+988391.8</f>
        <v>5604554.6600000001</v>
      </c>
      <c r="E75" s="107">
        <f>SUM(E77:E81)</f>
        <v>6197764.7700000005</v>
      </c>
      <c r="F75" s="107">
        <f>SUM(F77:F81)</f>
        <v>3749667.49</v>
      </c>
      <c r="G75" s="107">
        <f t="shared" ref="G75:AD75" si="15">SUM(G77:G81)</f>
        <v>6852948.2799999993</v>
      </c>
      <c r="H75" s="107">
        <f t="shared" si="15"/>
        <v>3749667.49</v>
      </c>
      <c r="I75" s="107">
        <f t="shared" si="15"/>
        <v>5929212.6499999994</v>
      </c>
      <c r="J75" s="107">
        <f t="shared" si="15"/>
        <v>2974471.0500000003</v>
      </c>
      <c r="K75" s="107">
        <f t="shared" si="15"/>
        <v>7559967.5599999996</v>
      </c>
      <c r="L75" s="107">
        <f t="shared" si="15"/>
        <v>2974471.0500000003</v>
      </c>
      <c r="M75" s="107">
        <f t="shared" si="15"/>
        <v>6930316.6799999997</v>
      </c>
      <c r="N75" s="107">
        <f t="shared" si="15"/>
        <v>4894294.6399999997</v>
      </c>
      <c r="O75" s="107">
        <f t="shared" si="15"/>
        <v>7219255.4799999995</v>
      </c>
      <c r="P75" s="107">
        <f t="shared" si="15"/>
        <v>4894294.6399999997</v>
      </c>
      <c r="Q75" s="107">
        <f t="shared" si="15"/>
        <v>9600917.8499999996</v>
      </c>
      <c r="R75" s="107">
        <f t="shared" si="15"/>
        <v>4651292.82</v>
      </c>
      <c r="S75" s="107">
        <f t="shared" si="15"/>
        <v>8525632.5199999996</v>
      </c>
      <c r="T75" s="107">
        <f t="shared" si="15"/>
        <v>4005766.16</v>
      </c>
      <c r="U75" s="107">
        <f t="shared" si="15"/>
        <v>10599393.380000001</v>
      </c>
      <c r="V75" s="107">
        <f t="shared" si="15"/>
        <v>1496363.55</v>
      </c>
      <c r="W75" s="107">
        <f t="shared" si="15"/>
        <v>20377243.73</v>
      </c>
      <c r="X75" s="107">
        <f t="shared" si="15"/>
        <v>1496363.55</v>
      </c>
      <c r="Y75" s="107">
        <f t="shared" si="15"/>
        <v>20412653.610000003</v>
      </c>
      <c r="Z75" s="107">
        <f t="shared" si="15"/>
        <v>13308419.82</v>
      </c>
      <c r="AA75" s="124">
        <f t="shared" si="15"/>
        <v>54055934.440000005</v>
      </c>
      <c r="AB75" s="124">
        <f t="shared" si="15"/>
        <v>17697811.539999999</v>
      </c>
      <c r="AC75" s="124">
        <f t="shared" si="15"/>
        <v>61418098.109999999</v>
      </c>
      <c r="AD75" s="124">
        <f t="shared" si="15"/>
        <v>39172056.890000001</v>
      </c>
      <c r="AE75" s="118">
        <f>AE77+AE78+AE79+AE80+AE81</f>
        <v>12238071.009999998</v>
      </c>
      <c r="AF75" s="118">
        <f>AF77+AF78+AF79+AF80+AF81</f>
        <v>4454905.63</v>
      </c>
      <c r="AG75" s="118">
        <f>AG77+AG78+AG79+AG80+AG81</f>
        <v>401041.57</v>
      </c>
      <c r="AH75" s="118">
        <f>AH77+AH78+AH79+AH80+AH81</f>
        <v>0</v>
      </c>
      <c r="AI75" s="120">
        <f>AI77+AI78+AI79+AI80+AI81</f>
        <v>75253.62</v>
      </c>
      <c r="AJ75" s="120">
        <v>0</v>
      </c>
      <c r="AK75" s="120">
        <v>0</v>
      </c>
      <c r="AL75" s="120">
        <v>0</v>
      </c>
      <c r="AM75" s="120">
        <f>AM77+AM78+AM79+AM80+AM81</f>
        <v>0</v>
      </c>
      <c r="AN75" s="120">
        <f>AN77+AN78+AN79+AN80+AN81</f>
        <v>0</v>
      </c>
      <c r="AO75" s="120">
        <f>AO77+AO78+AO79+AO80+AO81</f>
        <v>0</v>
      </c>
      <c r="AP75" s="120">
        <f>AP77+AP78+AP79+AP80+AP81</f>
        <v>0</v>
      </c>
      <c r="AQ75" s="116">
        <f>AM75/AI75-1</f>
        <v>-1</v>
      </c>
      <c r="AR75" s="116" t="e">
        <f>AO75/AK75-1</f>
        <v>#DIV/0!</v>
      </c>
    </row>
    <row r="76" spans="1:44" ht="15.75" customHeight="1" x14ac:dyDescent="0.25">
      <c r="A76" s="113"/>
      <c r="B76" s="11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25"/>
      <c r="AB76" s="125"/>
      <c r="AC76" s="125"/>
      <c r="AD76" s="125"/>
      <c r="AE76" s="119"/>
      <c r="AF76" s="119"/>
      <c r="AG76" s="119"/>
      <c r="AH76" s="119"/>
      <c r="AI76" s="121"/>
      <c r="AJ76" s="121"/>
      <c r="AK76" s="121"/>
      <c r="AL76" s="121"/>
      <c r="AM76" s="121"/>
      <c r="AN76" s="121"/>
      <c r="AO76" s="121"/>
      <c r="AP76" s="121"/>
      <c r="AQ76" s="117"/>
      <c r="AR76" s="117"/>
    </row>
    <row r="77" spans="1:44" ht="45.75" customHeight="1" x14ac:dyDescent="0.25">
      <c r="A77" s="109" t="s">
        <v>11</v>
      </c>
      <c r="B77" s="110"/>
      <c r="C77" s="1"/>
      <c r="D77" s="1"/>
      <c r="E77" s="1">
        <v>6195284.0800000001</v>
      </c>
      <c r="F77" s="1">
        <f>3363056.56+386610.93</f>
        <v>3749667.49</v>
      </c>
      <c r="G77" s="1">
        <f>2263909.36+4559378.25</f>
        <v>6823287.6099999994</v>
      </c>
      <c r="H77" s="1">
        <f>386610.93+3363056.56</f>
        <v>3749667.49</v>
      </c>
      <c r="I77" s="1">
        <f>1799893.76+4099496.79</f>
        <v>5899390.5499999998</v>
      </c>
      <c r="J77" s="1">
        <f>386610.93+2587860.12</f>
        <v>2974471.0500000003</v>
      </c>
      <c r="K77" s="1">
        <f>5416106.16+2141154.26+1386.18+1320.96</f>
        <v>7559967.5599999996</v>
      </c>
      <c r="L77" s="1">
        <f>2587860.12+386610.93</f>
        <v>2974471.0500000003</v>
      </c>
      <c r="M77" s="1">
        <v>6930316.6799999997</v>
      </c>
      <c r="N77" s="1">
        <v>4894294.6399999997</v>
      </c>
      <c r="O77" s="1">
        <f>1865798.47+5348998.75</f>
        <v>7214797.2199999997</v>
      </c>
      <c r="P77" s="1">
        <f>386610.93+4507683.71</f>
        <v>4894294.6399999997</v>
      </c>
      <c r="Q77" s="1">
        <v>9600917.8499999996</v>
      </c>
      <c r="R77" s="1">
        <v>4651292.82</v>
      </c>
      <c r="S77" s="1">
        <f>2951333.92+5555295.68+15251.76+3751.16</f>
        <v>8525632.5199999996</v>
      </c>
      <c r="T77" s="1">
        <f>3619155.23+386610.93</f>
        <v>4005766.16</v>
      </c>
      <c r="U77" s="1">
        <f>1992205.58+8591549.02+5323.15+10315.63</f>
        <v>10599393.380000001</v>
      </c>
      <c r="V77" s="1">
        <f>1109752.62+386610.93</f>
        <v>1496363.55</v>
      </c>
      <c r="W77" s="1">
        <f>10545735.23+9823125.67+3422.46+4960.37</f>
        <v>20377243.73</v>
      </c>
      <c r="X77" s="1">
        <f>386610.93+1109752.62</f>
        <v>1496363.55</v>
      </c>
      <c r="Y77" s="1">
        <v>20441640.960000001</v>
      </c>
      <c r="Z77" s="1">
        <v>13308419.82</v>
      </c>
      <c r="AA77" s="19">
        <f>33166250.55+116.03+20185020.65+10333.24-153588.27</f>
        <v>53208132.200000003</v>
      </c>
      <c r="AB77" s="19">
        <f>17535000.48+162811.06-153588.27</f>
        <v>17544223.27</v>
      </c>
      <c r="AC77" s="19">
        <f>44014737.97+19482.3+16465957.71</f>
        <v>60500177.979999997</v>
      </c>
      <c r="AD77" s="19">
        <f>29503554.98+9668501.91</f>
        <v>39172056.890000001</v>
      </c>
      <c r="AE77" s="28">
        <v>11770839.189999999</v>
      </c>
      <c r="AF77" s="28">
        <v>4454905.63</v>
      </c>
      <c r="AG77" s="28">
        <v>401041.57</v>
      </c>
      <c r="AH77" s="12"/>
      <c r="AI77" s="19">
        <v>75253.62</v>
      </c>
      <c r="AJ77" s="19">
        <v>0</v>
      </c>
      <c r="AK77" s="19">
        <v>0</v>
      </c>
      <c r="AL77" s="19"/>
      <c r="AM77" s="12"/>
      <c r="AN77" s="12"/>
      <c r="AO77" s="12"/>
      <c r="AP77" s="12"/>
      <c r="AQ77" s="39"/>
      <c r="AR77" s="39"/>
    </row>
    <row r="78" spans="1:44" ht="15.75" customHeight="1" x14ac:dyDescent="0.25">
      <c r="A78" s="109" t="s">
        <v>8</v>
      </c>
      <c r="B78" s="1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9">
        <f>174701.03+239873.77</f>
        <v>414574.8</v>
      </c>
      <c r="AB78" s="19"/>
      <c r="AC78" s="19">
        <f>340113.75+6309.58+298211.41</f>
        <v>644634.74</v>
      </c>
      <c r="AD78" s="19"/>
      <c r="AE78" s="28">
        <f>180975.63+90797+9669.95</f>
        <v>281442.58</v>
      </c>
      <c r="AF78" s="12"/>
      <c r="AG78" s="12"/>
      <c r="AH78" s="12"/>
      <c r="AI78" s="19"/>
      <c r="AJ78" s="19"/>
      <c r="AK78" s="19"/>
      <c r="AL78" s="19"/>
      <c r="AM78" s="12"/>
      <c r="AN78" s="12"/>
      <c r="AO78" s="12"/>
      <c r="AP78" s="12"/>
      <c r="AQ78" s="39"/>
      <c r="AR78" s="39"/>
    </row>
    <row r="79" spans="1:44" ht="48" customHeight="1" x14ac:dyDescent="0.25">
      <c r="A79" s="109" t="s">
        <v>9</v>
      </c>
      <c r="B79" s="110"/>
      <c r="C79" s="1"/>
      <c r="D79" s="1"/>
      <c r="E79" s="1"/>
      <c r="F79" s="1"/>
      <c r="G79" s="1">
        <v>-0.01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9">
        <v>150004.17000000001</v>
      </c>
      <c r="AB79" s="19"/>
      <c r="AC79" s="19">
        <f>218911.42+53273.97</f>
        <v>272185.39</v>
      </c>
      <c r="AD79" s="19"/>
      <c r="AE79" s="28">
        <v>185472.7</v>
      </c>
      <c r="AF79" s="12"/>
      <c r="AG79" s="12"/>
      <c r="AH79" s="12"/>
      <c r="AI79" s="19"/>
      <c r="AJ79" s="19"/>
      <c r="AK79" s="19"/>
      <c r="AL79" s="19"/>
      <c r="AM79" s="12"/>
      <c r="AN79" s="12"/>
      <c r="AO79" s="12"/>
      <c r="AP79" s="12"/>
      <c r="AQ79" s="39"/>
      <c r="AR79" s="39"/>
    </row>
    <row r="80" spans="1:44" ht="15.75" customHeight="1" x14ac:dyDescent="0.25">
      <c r="A80" s="109" t="s">
        <v>10</v>
      </c>
      <c r="B80" s="110"/>
      <c r="C80" s="1"/>
      <c r="D80" s="1"/>
      <c r="E80" s="1"/>
      <c r="F80" s="1"/>
      <c r="G80" s="1">
        <v>-67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v>-94199.79</v>
      </c>
      <c r="Z80" s="1"/>
      <c r="AA80" s="19">
        <f>129635</f>
        <v>129635</v>
      </c>
      <c r="AB80" s="19"/>
      <c r="AC80" s="19"/>
      <c r="AD80" s="19"/>
      <c r="AE80" s="28"/>
      <c r="AF80" s="12"/>
      <c r="AG80" s="12"/>
      <c r="AH80" s="12"/>
      <c r="AI80" s="19"/>
      <c r="AJ80" s="19"/>
      <c r="AK80" s="19"/>
      <c r="AL80" s="19"/>
      <c r="AM80" s="12"/>
      <c r="AN80" s="12"/>
      <c r="AO80" s="12"/>
      <c r="AP80" s="12"/>
      <c r="AQ80" s="39"/>
      <c r="AR80" s="39"/>
    </row>
    <row r="81" spans="1:44" ht="15.75" customHeight="1" x14ac:dyDescent="0.25">
      <c r="A81" s="109" t="s">
        <v>16</v>
      </c>
      <c r="B81" s="110"/>
      <c r="C81" s="1"/>
      <c r="D81" s="1"/>
      <c r="E81" s="1">
        <v>2480.69</v>
      </c>
      <c r="F81" s="1"/>
      <c r="G81" s="1">
        <f>10138.57+19589.11</f>
        <v>29727.68</v>
      </c>
      <c r="H81" s="1"/>
      <c r="I81" s="1">
        <f>14183.88+15638.22</f>
        <v>29822.1</v>
      </c>
      <c r="J81" s="1"/>
      <c r="K81" s="1"/>
      <c r="L81" s="1"/>
      <c r="M81" s="1"/>
      <c r="N81" s="1"/>
      <c r="O81" s="1">
        <v>4458.26</v>
      </c>
      <c r="P81" s="1"/>
      <c r="Q81" s="1"/>
      <c r="R81" s="1"/>
      <c r="S81" s="1"/>
      <c r="T81" s="1"/>
      <c r="U81" s="1"/>
      <c r="V81" s="1"/>
      <c r="W81" s="1"/>
      <c r="X81" s="1"/>
      <c r="Y81" s="1">
        <v>65212.44</v>
      </c>
      <c r="Z81" s="1"/>
      <c r="AA81" s="19">
        <v>153588.26999999999</v>
      </c>
      <c r="AB81" s="19">
        <v>153588.26999999999</v>
      </c>
      <c r="AC81" s="19">
        <v>1100</v>
      </c>
      <c r="AD81" s="19"/>
      <c r="AE81" s="28">
        <v>316.54000000000002</v>
      </c>
      <c r="AF81" s="12"/>
      <c r="AG81" s="12"/>
      <c r="AH81" s="12"/>
      <c r="AI81" s="19"/>
      <c r="AJ81" s="19"/>
      <c r="AK81" s="19"/>
      <c r="AL81" s="19"/>
      <c r="AM81" s="12"/>
      <c r="AN81" s="12"/>
      <c r="AO81" s="12"/>
      <c r="AP81" s="12"/>
      <c r="AQ81" s="39"/>
      <c r="AR81" s="39"/>
    </row>
    <row r="82" spans="1:44" x14ac:dyDescent="0.25">
      <c r="A82" s="111" t="s">
        <v>15</v>
      </c>
      <c r="B82" s="112"/>
      <c r="C82" s="115">
        <v>-1470.89</v>
      </c>
      <c r="D82" s="115">
        <f>SUM(D84:D88)</f>
        <v>0</v>
      </c>
      <c r="E82" s="115">
        <f t="shared" ref="E82:AB82" si="16">SUM(E84:E88)</f>
        <v>741.25</v>
      </c>
      <c r="F82" s="115">
        <f t="shared" si="16"/>
        <v>0</v>
      </c>
      <c r="G82" s="115">
        <f t="shared" si="16"/>
        <v>0</v>
      </c>
      <c r="H82" s="115">
        <f t="shared" si="16"/>
        <v>0</v>
      </c>
      <c r="I82" s="115">
        <f t="shared" si="16"/>
        <v>0</v>
      </c>
      <c r="J82" s="115">
        <f t="shared" si="16"/>
        <v>0</v>
      </c>
      <c r="K82" s="115">
        <f t="shared" si="16"/>
        <v>0</v>
      </c>
      <c r="L82" s="115">
        <f t="shared" si="16"/>
        <v>0</v>
      </c>
      <c r="M82" s="115">
        <f t="shared" si="16"/>
        <v>0</v>
      </c>
      <c r="N82" s="115">
        <f t="shared" si="16"/>
        <v>0</v>
      </c>
      <c r="O82" s="115">
        <f t="shared" si="16"/>
        <v>0</v>
      </c>
      <c r="P82" s="115">
        <f t="shared" si="16"/>
        <v>0</v>
      </c>
      <c r="Q82" s="115">
        <f t="shared" si="16"/>
        <v>0</v>
      </c>
      <c r="R82" s="115">
        <f t="shared" si="16"/>
        <v>0</v>
      </c>
      <c r="S82" s="115">
        <f t="shared" si="16"/>
        <v>0</v>
      </c>
      <c r="T82" s="115">
        <f t="shared" si="16"/>
        <v>0</v>
      </c>
      <c r="U82" s="115">
        <f t="shared" si="16"/>
        <v>0</v>
      </c>
      <c r="V82" s="115">
        <f t="shared" si="16"/>
        <v>0</v>
      </c>
      <c r="W82" s="115">
        <f t="shared" si="16"/>
        <v>0</v>
      </c>
      <c r="X82" s="115">
        <f t="shared" si="16"/>
        <v>0</v>
      </c>
      <c r="Y82" s="115">
        <f t="shared" si="16"/>
        <v>0</v>
      </c>
      <c r="Z82" s="115">
        <f t="shared" si="16"/>
        <v>0</v>
      </c>
      <c r="AA82" s="128">
        <f>AA84+AA85+AA86+AA87+AA88</f>
        <v>84248.31</v>
      </c>
      <c r="AB82" s="128">
        <f t="shared" si="16"/>
        <v>0</v>
      </c>
      <c r="AC82" s="128">
        <f>SUM(AC84:AC88)</f>
        <v>130082.92000000001</v>
      </c>
      <c r="AD82" s="128">
        <f>SUM(AD84:AD88)</f>
        <v>0</v>
      </c>
      <c r="AE82" s="126">
        <f t="shared" ref="AE82:AL82" si="17">AE84+AE85+AE86+AE87+AE88</f>
        <v>122664.07</v>
      </c>
      <c r="AF82" s="126">
        <f t="shared" si="17"/>
        <v>0</v>
      </c>
      <c r="AG82" s="126">
        <f t="shared" si="17"/>
        <v>0</v>
      </c>
      <c r="AH82" s="126">
        <f t="shared" si="17"/>
        <v>0</v>
      </c>
      <c r="AI82" s="122">
        <f t="shared" si="17"/>
        <v>45365.68</v>
      </c>
      <c r="AJ82" s="122">
        <f t="shared" si="17"/>
        <v>0</v>
      </c>
      <c r="AK82" s="122">
        <v>0</v>
      </c>
      <c r="AL82" s="122">
        <f t="shared" si="17"/>
        <v>0</v>
      </c>
      <c r="AM82" s="122">
        <f>AM84+AM85+AM86+AM87+AM88</f>
        <v>71381.3</v>
      </c>
      <c r="AN82" s="122">
        <f>AN84+AN85+AN86+AN87+AN88</f>
        <v>0</v>
      </c>
      <c r="AO82" s="122">
        <f>AO84+AO85+AO86+AO87+AO88</f>
        <v>0</v>
      </c>
      <c r="AP82" s="122">
        <f>AP84+AP85+AP86+AP87+AP88</f>
        <v>0</v>
      </c>
      <c r="AQ82" s="116">
        <f>AM82/AI82-1</f>
        <v>0.57346478659638755</v>
      </c>
      <c r="AR82" s="116" t="e">
        <f>AO82/AK82-1</f>
        <v>#DIV/0!</v>
      </c>
    </row>
    <row r="83" spans="1:44" x14ac:dyDescent="0.25">
      <c r="A83" s="113"/>
      <c r="B83" s="11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25"/>
      <c r="AB83" s="125"/>
      <c r="AC83" s="131"/>
      <c r="AD83" s="125"/>
      <c r="AE83" s="127"/>
      <c r="AF83" s="127"/>
      <c r="AG83" s="127"/>
      <c r="AH83" s="127"/>
      <c r="AI83" s="123"/>
      <c r="AJ83" s="123"/>
      <c r="AK83" s="123"/>
      <c r="AL83" s="123"/>
      <c r="AM83" s="123"/>
      <c r="AN83" s="123"/>
      <c r="AO83" s="123"/>
      <c r="AP83" s="123"/>
      <c r="AQ83" s="117"/>
      <c r="AR83" s="117"/>
    </row>
    <row r="84" spans="1:44" ht="46.5" customHeight="1" x14ac:dyDescent="0.25">
      <c r="A84" s="109" t="s">
        <v>11</v>
      </c>
      <c r="B84" s="110"/>
      <c r="C84" s="2"/>
      <c r="D84" s="2"/>
      <c r="E84" s="2">
        <v>741.25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6"/>
      <c r="AB84" s="16"/>
      <c r="AC84" s="16">
        <v>5034.4399999999996</v>
      </c>
      <c r="AD84" s="13"/>
      <c r="AE84" s="23">
        <v>354.61</v>
      </c>
      <c r="AF84" s="23"/>
      <c r="AG84" s="23"/>
      <c r="AH84" s="23"/>
      <c r="AI84" s="16"/>
      <c r="AJ84" s="16"/>
      <c r="AK84" s="16"/>
      <c r="AL84" s="16"/>
      <c r="AM84" s="16"/>
      <c r="AN84" s="16"/>
      <c r="AO84" s="16"/>
      <c r="AP84" s="16"/>
      <c r="AQ84" s="24"/>
      <c r="AR84" s="24"/>
    </row>
    <row r="85" spans="1:44" x14ac:dyDescent="0.25">
      <c r="A85" s="109" t="s">
        <v>8</v>
      </c>
      <c r="B85" s="110"/>
      <c r="C85" s="2"/>
      <c r="D85" s="2"/>
      <c r="E85" s="2">
        <v>0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6">
        <v>53091.66</v>
      </c>
      <c r="AB85" s="16"/>
      <c r="AC85" s="16">
        <v>81730</v>
      </c>
      <c r="AD85" s="13"/>
      <c r="AE85" s="23">
        <v>82376</v>
      </c>
      <c r="AF85" s="23"/>
      <c r="AG85" s="23"/>
      <c r="AH85" s="23"/>
      <c r="AI85" s="16">
        <v>28290.47</v>
      </c>
      <c r="AJ85" s="16"/>
      <c r="AK85" s="16"/>
      <c r="AL85" s="16"/>
      <c r="AM85" s="16">
        <v>46690</v>
      </c>
      <c r="AN85" s="16"/>
      <c r="AO85" s="16"/>
      <c r="AP85" s="16"/>
      <c r="AQ85" s="24"/>
      <c r="AR85" s="24"/>
    </row>
    <row r="86" spans="1:44" ht="42.75" customHeight="1" x14ac:dyDescent="0.25">
      <c r="A86" s="109" t="s">
        <v>9</v>
      </c>
      <c r="B86" s="110"/>
      <c r="C86" s="2"/>
      <c r="D86" s="2"/>
      <c r="E86" s="2">
        <v>0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6">
        <v>31156.65</v>
      </c>
      <c r="AB86" s="16"/>
      <c r="AC86" s="16">
        <v>43318.48</v>
      </c>
      <c r="AD86" s="13"/>
      <c r="AE86" s="23">
        <v>39933.46</v>
      </c>
      <c r="AF86" s="23"/>
      <c r="AG86" s="23"/>
      <c r="AH86" s="23"/>
      <c r="AI86" s="16">
        <v>17075.21</v>
      </c>
      <c r="AJ86" s="16"/>
      <c r="AK86" s="16"/>
      <c r="AL86" s="16"/>
      <c r="AM86" s="16">
        <v>24691.3</v>
      </c>
      <c r="AN86" s="16"/>
      <c r="AO86" s="16"/>
      <c r="AP86" s="16"/>
      <c r="AQ86" s="24"/>
      <c r="AR86" s="24"/>
    </row>
    <row r="87" spans="1:44" x14ac:dyDescent="0.25">
      <c r="A87" s="109" t="s">
        <v>10</v>
      </c>
      <c r="B87" s="11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6"/>
      <c r="AB87" s="23"/>
      <c r="AC87" s="13"/>
      <c r="AD87" s="13"/>
      <c r="AE87" s="13"/>
      <c r="AF87" s="13"/>
      <c r="AG87" s="13"/>
      <c r="AH87" s="13"/>
      <c r="AI87" s="16"/>
      <c r="AJ87" s="16"/>
      <c r="AK87" s="16"/>
      <c r="AL87" s="16"/>
      <c r="AM87" s="16"/>
      <c r="AN87" s="16"/>
      <c r="AO87" s="16"/>
      <c r="AP87" s="16"/>
      <c r="AQ87" s="24"/>
      <c r="AR87" s="24"/>
    </row>
    <row r="88" spans="1:44" x14ac:dyDescent="0.25">
      <c r="A88" s="109" t="s">
        <v>16</v>
      </c>
      <c r="B88" s="1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6"/>
      <c r="AN88" s="16"/>
      <c r="AO88" s="16"/>
      <c r="AP88" s="16"/>
      <c r="AQ88" s="24"/>
      <c r="AR88" s="24"/>
    </row>
    <row r="89" spans="1:44" ht="60" hidden="1" x14ac:dyDescent="0.25">
      <c r="A89" s="7" t="s">
        <v>25</v>
      </c>
      <c r="B89" s="7"/>
      <c r="C89" s="9">
        <v>3090165.46</v>
      </c>
      <c r="D89" s="9">
        <v>3090165.46</v>
      </c>
      <c r="E89" s="9">
        <f>SUM(E90:E92)</f>
        <v>0</v>
      </c>
      <c r="F89" s="9">
        <f>SUM(F90:F92)</f>
        <v>0</v>
      </c>
      <c r="G89" s="9">
        <f t="shared" ref="G89:Z89" si="18">SUM(G90:G92)</f>
        <v>0</v>
      </c>
      <c r="H89" s="9">
        <f t="shared" si="18"/>
        <v>0</v>
      </c>
      <c r="I89" s="9">
        <f t="shared" si="18"/>
        <v>0</v>
      </c>
      <c r="J89" s="9">
        <f t="shared" si="18"/>
        <v>0</v>
      </c>
      <c r="K89" s="9">
        <f t="shared" si="18"/>
        <v>0</v>
      </c>
      <c r="L89" s="9">
        <f t="shared" si="18"/>
        <v>0</v>
      </c>
      <c r="M89" s="9">
        <f t="shared" si="18"/>
        <v>0</v>
      </c>
      <c r="N89" s="9">
        <f t="shared" si="18"/>
        <v>0</v>
      </c>
      <c r="O89" s="9">
        <f t="shared" si="18"/>
        <v>0</v>
      </c>
      <c r="P89" s="9">
        <f t="shared" si="18"/>
        <v>0</v>
      </c>
      <c r="Q89" s="9">
        <f t="shared" si="18"/>
        <v>0</v>
      </c>
      <c r="R89" s="9">
        <f t="shared" si="18"/>
        <v>0</v>
      </c>
      <c r="S89" s="9">
        <f t="shared" si="18"/>
        <v>0</v>
      </c>
      <c r="T89" s="9">
        <f t="shared" si="18"/>
        <v>0</v>
      </c>
      <c r="U89" s="9">
        <f t="shared" si="18"/>
        <v>0</v>
      </c>
      <c r="V89" s="9">
        <f t="shared" si="18"/>
        <v>0</v>
      </c>
      <c r="W89" s="9">
        <f t="shared" si="18"/>
        <v>0</v>
      </c>
      <c r="X89" s="9">
        <f t="shared" si="18"/>
        <v>0</v>
      </c>
      <c r="Y89" s="9">
        <f t="shared" si="18"/>
        <v>0</v>
      </c>
      <c r="Z89" s="9">
        <f t="shared" si="18"/>
        <v>0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129">
        <v>0</v>
      </c>
      <c r="AR89" s="129">
        <v>0</v>
      </c>
    </row>
    <row r="90" spans="1:44" hidden="1" x14ac:dyDescent="0.25">
      <c r="A90" s="109" t="s">
        <v>10</v>
      </c>
      <c r="B90" s="132"/>
      <c r="C90" s="2"/>
      <c r="D90" s="2"/>
      <c r="E90" s="2"/>
      <c r="F90" s="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3"/>
      <c r="AB90" s="13"/>
      <c r="AC90" s="13"/>
      <c r="AD90" s="13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130"/>
      <c r="AR90" s="130"/>
    </row>
    <row r="91" spans="1:44" hidden="1" x14ac:dyDescent="0.25">
      <c r="A91" s="133" t="s">
        <v>24</v>
      </c>
      <c r="B91" s="132"/>
      <c r="C91" s="9">
        <f>4008760.53+5844431.63+14283.75+179317.37</f>
        <v>10046793.279999999</v>
      </c>
      <c r="D91" s="9">
        <f>989699.04+1910943.77</f>
        <v>2900642.81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32"/>
      <c r="AR91" s="32"/>
    </row>
    <row r="92" spans="1:44" hidden="1" x14ac:dyDescent="0.25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31"/>
      <c r="AR92" s="31"/>
    </row>
    <row r="93" spans="1:44" x14ac:dyDescent="0.25">
      <c r="A93" s="133" t="s">
        <v>12</v>
      </c>
      <c r="B93" s="132"/>
      <c r="C93" s="10">
        <f>C8+C33+C40+C47+C54+C61+C68+C75+C82+C89+C91</f>
        <v>94587677.819999993</v>
      </c>
      <c r="D93" s="10">
        <f>D8+D33+D40+D47+D54+D61+D68+D75+D82+D89+D91</f>
        <v>68008770.719999999</v>
      </c>
      <c r="E93" s="10">
        <f>E8+E33+E40+E47+E54+E61+E68+E75+E82+E89</f>
        <v>85864729.75999999</v>
      </c>
      <c r="F93" s="10">
        <f>F8+F33+F40+F47+F54+F61+F68+F75+F82+F89</f>
        <v>66510808.209999993</v>
      </c>
      <c r="G93" s="10">
        <f t="shared" ref="G93:Y93" si="19">G8+G33+G40+G47+G54+G61+G68+G75+G82+G89</f>
        <v>93511066.090000018</v>
      </c>
      <c r="H93" s="10">
        <f t="shared" si="19"/>
        <v>66963948.660000004</v>
      </c>
      <c r="I93" s="10">
        <f t="shared" si="19"/>
        <v>92440148.88000001</v>
      </c>
      <c r="J93" s="10">
        <f t="shared" si="19"/>
        <v>69371696.100000009</v>
      </c>
      <c r="K93" s="10">
        <f t="shared" si="19"/>
        <v>93692017.959999993</v>
      </c>
      <c r="L93" s="10">
        <f t="shared" si="19"/>
        <v>72494645.030000001</v>
      </c>
      <c r="M93" s="10">
        <f t="shared" si="19"/>
        <v>95350288.340000004</v>
      </c>
      <c r="N93" s="10">
        <f t="shared" si="19"/>
        <v>74699098.340000004</v>
      </c>
      <c r="O93" s="10">
        <f t="shared" si="19"/>
        <v>92952938.269999996</v>
      </c>
      <c r="P93" s="10">
        <f t="shared" si="19"/>
        <v>82357876.220000014</v>
      </c>
      <c r="Q93" s="10">
        <f t="shared" si="19"/>
        <v>97449531.209999979</v>
      </c>
      <c r="R93" s="10">
        <f t="shared" si="19"/>
        <v>74441297.569999993</v>
      </c>
      <c r="S93" s="10">
        <f t="shared" si="19"/>
        <v>96755275.489999995</v>
      </c>
      <c r="T93" s="10">
        <f t="shared" si="19"/>
        <v>74719949.890000001</v>
      </c>
      <c r="U93" s="10">
        <f t="shared" si="19"/>
        <v>97352731.719999984</v>
      </c>
      <c r="V93" s="10">
        <f t="shared" si="19"/>
        <v>74918061.669999987</v>
      </c>
      <c r="W93" s="10">
        <f t="shared" si="19"/>
        <v>103431682.53</v>
      </c>
      <c r="X93" s="10">
        <f t="shared" si="19"/>
        <v>71550048.36999999</v>
      </c>
      <c r="Y93" s="10">
        <f t="shared" si="19"/>
        <v>139512827.16999999</v>
      </c>
      <c r="Z93" s="10">
        <f>Z8+Z33+Z40+Z47+Z54+Z61+Z68+Z75+Z82+Z89</f>
        <v>116277638.82999998</v>
      </c>
      <c r="AA93" s="20">
        <f>AA8+AA33+AA40+AA47+AA54+AA61+AA68+AA75+AA82+AA89</f>
        <v>136792938.08000001</v>
      </c>
      <c r="AB93" s="20">
        <f>AB8+AB33+AB40+AB47+AB54+AB61+AB68+AB75+AB82+AB89</f>
        <v>43344897.469999999</v>
      </c>
      <c r="AC93" s="20">
        <f>AC8+AC33+AC40+AC47+AC54+AC61+AC68+AC75+AC82+AC89</f>
        <v>211086618.58000001</v>
      </c>
      <c r="AD93" s="20">
        <f>AD8+AD33+AD40+AD47+AD54+AD61+AD68+AD75+AD82+AD89</f>
        <v>119975047.31999999</v>
      </c>
      <c r="AE93" s="10">
        <f t="shared" ref="AE93:AL93" si="20">AE8+AE33+AE40+AE47+AE54+AE61+AE75+AE82</f>
        <v>210062888.64999998</v>
      </c>
      <c r="AF93" s="10">
        <f t="shared" si="20"/>
        <v>99495187.609999999</v>
      </c>
      <c r="AG93" s="10">
        <f t="shared" si="20"/>
        <v>86313931.799999982</v>
      </c>
      <c r="AH93" s="10">
        <f t="shared" si="20"/>
        <v>23141374.309999999</v>
      </c>
      <c r="AI93" s="20">
        <f t="shared" si="20"/>
        <v>128946217.90000001</v>
      </c>
      <c r="AJ93" s="20">
        <f t="shared" si="20"/>
        <v>32163242.649999999</v>
      </c>
      <c r="AK93" s="20">
        <f t="shared" si="20"/>
        <v>14429840.109999999</v>
      </c>
      <c r="AL93" s="20">
        <f t="shared" si="20"/>
        <v>0</v>
      </c>
      <c r="AM93" s="67">
        <f>AM8+AM33+AM40+AM47+AM54+AM61+AM75+AM82+AM15+AM21+AM27</f>
        <v>111670434.12999998</v>
      </c>
      <c r="AN93" s="67">
        <f t="shared" ref="AN93:AP93" si="21">AN8+AN33+AN40+AN47+AN54+AN61+AN75+AN82+AN15+AN21+AN27</f>
        <v>28823353.870000001</v>
      </c>
      <c r="AO93" s="67">
        <f t="shared" si="21"/>
        <v>3131884</v>
      </c>
      <c r="AP93" s="67">
        <f t="shared" si="21"/>
        <v>0</v>
      </c>
      <c r="AQ93" s="35">
        <f>AM93/AI93-1</f>
        <v>-0.13397666136588582</v>
      </c>
      <c r="AR93" s="35">
        <f>AO93/AK93-1</f>
        <v>-0.78295781684860266</v>
      </c>
    </row>
    <row r="94" spans="1:44" ht="40.5" customHeight="1" x14ac:dyDescent="0.25">
      <c r="A94" s="109" t="s">
        <v>11</v>
      </c>
      <c r="B94" s="132"/>
      <c r="C94" s="2">
        <f t="shared" ref="C94:AD98" si="22">C10+C35+C42+C49+C56+C63+C70+C77+C84</f>
        <v>0</v>
      </c>
      <c r="D94" s="2">
        <f t="shared" si="22"/>
        <v>0</v>
      </c>
      <c r="E94" s="2">
        <f t="shared" si="22"/>
        <v>17953226.410000004</v>
      </c>
      <c r="F94" s="2">
        <f t="shared" si="22"/>
        <v>6382951.8399999943</v>
      </c>
      <c r="G94" s="2">
        <f t="shared" si="22"/>
        <v>19216097.170000002</v>
      </c>
      <c r="H94" s="2">
        <f t="shared" si="22"/>
        <v>6555841.7200000007</v>
      </c>
      <c r="I94" s="2">
        <f t="shared" si="22"/>
        <v>22865503.460000001</v>
      </c>
      <c r="J94" s="2">
        <f t="shared" si="22"/>
        <v>5864947.9199999999</v>
      </c>
      <c r="K94" s="2">
        <f t="shared" si="22"/>
        <v>17090632.079999998</v>
      </c>
      <c r="L94" s="2">
        <f t="shared" si="22"/>
        <v>5837825.0099999998</v>
      </c>
      <c r="M94" s="2">
        <f t="shared" si="22"/>
        <v>16099291.18</v>
      </c>
      <c r="N94" s="2">
        <f t="shared" si="22"/>
        <v>7784857.7199999997</v>
      </c>
      <c r="O94" s="2">
        <f t="shared" si="22"/>
        <v>16094244.300000001</v>
      </c>
      <c r="P94" s="2">
        <f t="shared" si="22"/>
        <v>7902977.2199999997</v>
      </c>
      <c r="Q94" s="2">
        <f t="shared" si="22"/>
        <v>20791692.359999999</v>
      </c>
      <c r="R94" s="2">
        <f t="shared" si="22"/>
        <v>7175180.9199999999</v>
      </c>
      <c r="S94" s="2">
        <f t="shared" si="22"/>
        <v>20070445.379999999</v>
      </c>
      <c r="T94" s="2">
        <f t="shared" si="22"/>
        <v>6987489.4900000002</v>
      </c>
      <c r="U94" s="2">
        <f t="shared" si="22"/>
        <v>24410984.270000003</v>
      </c>
      <c r="V94" s="2">
        <f t="shared" si="22"/>
        <v>4182653.4699999997</v>
      </c>
      <c r="W94" s="2">
        <f t="shared" si="22"/>
        <v>34358661.780000001</v>
      </c>
      <c r="X94" s="2">
        <f t="shared" si="22"/>
        <v>4756662.17</v>
      </c>
      <c r="Y94" s="2">
        <f t="shared" si="22"/>
        <v>37550191.880000003</v>
      </c>
      <c r="Z94" s="2">
        <f t="shared" si="22"/>
        <v>19969076.690000001</v>
      </c>
      <c r="AA94" s="16">
        <f t="shared" si="22"/>
        <v>78679277.219999999</v>
      </c>
      <c r="AB94" s="16">
        <f t="shared" si="22"/>
        <v>28544503.479999997</v>
      </c>
      <c r="AC94" s="16">
        <f t="shared" si="22"/>
        <v>97897786.019999981</v>
      </c>
      <c r="AD94" s="16">
        <f t="shared" si="22"/>
        <v>50095879.390000001</v>
      </c>
      <c r="AE94" s="23">
        <f t="shared" ref="AE94:AL98" si="23">AE10+AE35+AE42+AE49+AE56+AE63+AE77+AE84</f>
        <v>108565286.30999999</v>
      </c>
      <c r="AF94" s="23">
        <f t="shared" si="23"/>
        <v>66674832.540000007</v>
      </c>
      <c r="AG94" s="23">
        <f t="shared" si="23"/>
        <v>32847516.43</v>
      </c>
      <c r="AH94" s="23">
        <f t="shared" si="23"/>
        <v>21260780.43</v>
      </c>
      <c r="AI94" s="16">
        <f t="shared" si="23"/>
        <v>59026929.369999997</v>
      </c>
      <c r="AJ94" s="16">
        <f t="shared" si="23"/>
        <v>219982.55</v>
      </c>
      <c r="AK94" s="16">
        <f t="shared" si="23"/>
        <v>3777110.1399999997</v>
      </c>
      <c r="AL94" s="16">
        <f t="shared" si="23"/>
        <v>0</v>
      </c>
      <c r="AM94" s="16">
        <f>AM10+AM35+AM42+AM49+AM56+AM63+AM77+AM84+AM16+AM22+AM28</f>
        <v>61676275.340000004</v>
      </c>
      <c r="AN94" s="16">
        <f t="shared" ref="AN94:AP98" si="24">AN10+AN35+AN42+AN49+AN56+AN63+AN77+AN84+AN16+AN22+AN28</f>
        <v>6379168.9400000004</v>
      </c>
      <c r="AO94" s="16">
        <f t="shared" si="24"/>
        <v>2700000</v>
      </c>
      <c r="AP94" s="16">
        <f t="shared" si="24"/>
        <v>0</v>
      </c>
      <c r="AQ94" s="36"/>
      <c r="AR94" s="36"/>
    </row>
    <row r="95" spans="1:44" x14ac:dyDescent="0.25">
      <c r="A95" s="109" t="s">
        <v>8</v>
      </c>
      <c r="B95" s="132"/>
      <c r="C95" s="2">
        <f t="shared" si="22"/>
        <v>0</v>
      </c>
      <c r="D95" s="2">
        <f t="shared" si="22"/>
        <v>0</v>
      </c>
      <c r="E95" s="2">
        <f t="shared" si="22"/>
        <v>0</v>
      </c>
      <c r="F95" s="2">
        <f t="shared" si="22"/>
        <v>0</v>
      </c>
      <c r="G95" s="2">
        <f t="shared" si="22"/>
        <v>1611249.67</v>
      </c>
      <c r="H95" s="2">
        <f t="shared" si="22"/>
        <v>0</v>
      </c>
      <c r="I95" s="2">
        <f t="shared" si="22"/>
        <v>1404831.87</v>
      </c>
      <c r="J95" s="2">
        <f t="shared" si="22"/>
        <v>0</v>
      </c>
      <c r="K95" s="2">
        <f t="shared" si="22"/>
        <v>2089553.3599999999</v>
      </c>
      <c r="L95" s="2">
        <f t="shared" si="22"/>
        <v>0</v>
      </c>
      <c r="M95" s="2">
        <f t="shared" si="22"/>
        <v>1291836.76</v>
      </c>
      <c r="N95" s="2">
        <f t="shared" si="22"/>
        <v>0</v>
      </c>
      <c r="O95" s="2">
        <f t="shared" si="22"/>
        <v>1343049.24</v>
      </c>
      <c r="P95" s="2">
        <f t="shared" si="22"/>
        <v>0</v>
      </c>
      <c r="Q95" s="2">
        <f t="shared" si="22"/>
        <v>1452525.99</v>
      </c>
      <c r="R95" s="2">
        <f t="shared" si="22"/>
        <v>0</v>
      </c>
      <c r="S95" s="2">
        <f t="shared" si="22"/>
        <v>1242140.78</v>
      </c>
      <c r="T95" s="2">
        <f t="shared" si="22"/>
        <v>0</v>
      </c>
      <c r="U95" s="2">
        <f t="shared" si="22"/>
        <v>1196585.6499999999</v>
      </c>
      <c r="V95" s="2">
        <f t="shared" si="22"/>
        <v>0</v>
      </c>
      <c r="W95" s="2">
        <f t="shared" si="22"/>
        <v>1283435.7</v>
      </c>
      <c r="X95" s="2">
        <f t="shared" si="22"/>
        <v>0</v>
      </c>
      <c r="Y95" s="2">
        <f t="shared" si="22"/>
        <v>0</v>
      </c>
      <c r="Z95" s="2">
        <f t="shared" si="22"/>
        <v>0</v>
      </c>
      <c r="AA95" s="16">
        <f t="shared" si="22"/>
        <v>28007459.789999999</v>
      </c>
      <c r="AB95" s="16">
        <f t="shared" si="22"/>
        <v>0</v>
      </c>
      <c r="AC95" s="16">
        <f t="shared" si="22"/>
        <v>33425614.419999998</v>
      </c>
      <c r="AD95" s="16">
        <f t="shared" si="22"/>
        <v>0</v>
      </c>
      <c r="AE95" s="23">
        <f t="shared" si="23"/>
        <v>33462185.5</v>
      </c>
      <c r="AF95" s="23">
        <f t="shared" si="23"/>
        <v>18386199.240000002</v>
      </c>
      <c r="AG95" s="23">
        <f t="shared" si="23"/>
        <v>0</v>
      </c>
      <c r="AH95" s="23">
        <f t="shared" si="23"/>
        <v>0</v>
      </c>
      <c r="AI95" s="16">
        <f t="shared" si="23"/>
        <v>36363970.560000002</v>
      </c>
      <c r="AJ95" s="16">
        <f t="shared" si="23"/>
        <v>19065790.949999999</v>
      </c>
      <c r="AK95" s="16">
        <f t="shared" si="23"/>
        <v>0</v>
      </c>
      <c r="AL95" s="16">
        <f t="shared" si="23"/>
        <v>0</v>
      </c>
      <c r="AM95" s="16">
        <f>AM11+AM36+AM43+AM50+AM57+AM64+AM78+AM85+AM17+AM23+AM29</f>
        <v>36937176.260000005</v>
      </c>
      <c r="AN95" s="16">
        <f t="shared" si="24"/>
        <v>19663162.079999998</v>
      </c>
      <c r="AO95" s="16">
        <f t="shared" si="24"/>
        <v>0</v>
      </c>
      <c r="AP95" s="16">
        <f t="shared" si="24"/>
        <v>0</v>
      </c>
      <c r="AQ95" s="37"/>
      <c r="AR95" s="37"/>
    </row>
    <row r="96" spans="1:44" ht="42.75" customHeight="1" x14ac:dyDescent="0.25">
      <c r="A96" s="109" t="s">
        <v>9</v>
      </c>
      <c r="B96" s="132"/>
      <c r="C96" s="2">
        <f t="shared" si="22"/>
        <v>0</v>
      </c>
      <c r="D96" s="2">
        <f t="shared" si="22"/>
        <v>0</v>
      </c>
      <c r="E96" s="2">
        <f t="shared" si="22"/>
        <v>5781112.8999999994</v>
      </c>
      <c r="F96" s="2">
        <f t="shared" si="22"/>
        <v>0</v>
      </c>
      <c r="G96" s="2">
        <f t="shared" si="22"/>
        <v>841993.46</v>
      </c>
      <c r="H96" s="2">
        <f t="shared" si="22"/>
        <v>0</v>
      </c>
      <c r="I96" s="2">
        <f t="shared" si="22"/>
        <v>730672.66</v>
      </c>
      <c r="J96" s="2">
        <f t="shared" si="22"/>
        <v>0</v>
      </c>
      <c r="K96" s="2">
        <f t="shared" si="22"/>
        <v>907890.05999999994</v>
      </c>
      <c r="L96" s="2">
        <f t="shared" si="22"/>
        <v>0</v>
      </c>
      <c r="M96" s="2">
        <f t="shared" si="22"/>
        <v>596611.02</v>
      </c>
      <c r="N96" s="2">
        <f t="shared" si="22"/>
        <v>0</v>
      </c>
      <c r="O96" s="2">
        <f t="shared" si="22"/>
        <v>806056.14</v>
      </c>
      <c r="P96" s="2">
        <f t="shared" si="22"/>
        <v>0</v>
      </c>
      <c r="Q96" s="2">
        <f t="shared" si="22"/>
        <v>910579.46000000008</v>
      </c>
      <c r="R96" s="2">
        <f t="shared" si="22"/>
        <v>0</v>
      </c>
      <c r="S96" s="2">
        <f t="shared" si="22"/>
        <v>832315.84</v>
      </c>
      <c r="T96" s="2">
        <f t="shared" si="22"/>
        <v>0</v>
      </c>
      <c r="U96" s="2">
        <f t="shared" si="22"/>
        <v>786043.03</v>
      </c>
      <c r="V96" s="2">
        <f t="shared" si="22"/>
        <v>0</v>
      </c>
      <c r="W96" s="2">
        <f t="shared" si="22"/>
        <v>782576.37000000011</v>
      </c>
      <c r="X96" s="2">
        <f t="shared" si="22"/>
        <v>0</v>
      </c>
      <c r="Y96" s="2">
        <f t="shared" si="22"/>
        <v>4770499.5100000007</v>
      </c>
      <c r="Z96" s="2">
        <f t="shared" si="22"/>
        <v>0</v>
      </c>
      <c r="AA96" s="16">
        <f t="shared" si="22"/>
        <v>11517101.640000001</v>
      </c>
      <c r="AB96" s="16">
        <f t="shared" si="22"/>
        <v>0</v>
      </c>
      <c r="AC96" s="16">
        <f t="shared" si="22"/>
        <v>17884307.940000001</v>
      </c>
      <c r="AD96" s="16">
        <f t="shared" si="22"/>
        <v>11291466.59</v>
      </c>
      <c r="AE96" s="23">
        <f t="shared" si="23"/>
        <v>26315662.609999999</v>
      </c>
      <c r="AF96" s="23">
        <f t="shared" si="23"/>
        <v>12978010.970000001</v>
      </c>
      <c r="AG96" s="23">
        <f t="shared" si="23"/>
        <v>14772077.07</v>
      </c>
      <c r="AH96" s="23">
        <f t="shared" si="23"/>
        <v>1220473.1199999999</v>
      </c>
      <c r="AI96" s="16">
        <f t="shared" si="23"/>
        <v>19682269.09</v>
      </c>
      <c r="AJ96" s="16">
        <f t="shared" si="23"/>
        <v>9924703.2199999988</v>
      </c>
      <c r="AK96" s="16">
        <f t="shared" si="23"/>
        <v>0</v>
      </c>
      <c r="AL96" s="16">
        <f t="shared" si="23"/>
        <v>0</v>
      </c>
      <c r="AM96" s="16">
        <f>AM12+AM37+AM44+AM51+AM58+AM65+AM79+AM86+AM18+AM24+AM30</f>
        <v>10510346.029999999</v>
      </c>
      <c r="AN96" s="16">
        <f t="shared" si="24"/>
        <v>2154521.96</v>
      </c>
      <c r="AO96" s="16">
        <f t="shared" si="24"/>
        <v>0</v>
      </c>
      <c r="AP96" s="16">
        <f t="shared" si="24"/>
        <v>0</v>
      </c>
      <c r="AQ96" s="37"/>
      <c r="AR96" s="37"/>
    </row>
    <row r="97" spans="1:44" x14ac:dyDescent="0.25">
      <c r="A97" s="109" t="s">
        <v>10</v>
      </c>
      <c r="B97" s="132"/>
      <c r="C97" s="2">
        <f t="shared" ref="C97:Z97" si="25">C13+C38+C45+C52+C59+C66+C73+C80+C87+C90</f>
        <v>0</v>
      </c>
      <c r="D97" s="2">
        <f t="shared" si="25"/>
        <v>0</v>
      </c>
      <c r="E97" s="2">
        <f t="shared" si="25"/>
        <v>60461371.310000002</v>
      </c>
      <c r="F97" s="2">
        <f t="shared" si="25"/>
        <v>58245420.57</v>
      </c>
      <c r="G97" s="2">
        <f t="shared" si="25"/>
        <v>69929562.310000002</v>
      </c>
      <c r="H97" s="2">
        <f t="shared" si="25"/>
        <v>58525671.140000001</v>
      </c>
      <c r="I97" s="2">
        <f t="shared" si="25"/>
        <v>65526882.990000002</v>
      </c>
      <c r="J97" s="2">
        <f t="shared" si="25"/>
        <v>61624312.380000003</v>
      </c>
      <c r="K97" s="2">
        <f t="shared" si="25"/>
        <v>71721506.659999996</v>
      </c>
      <c r="L97" s="2">
        <f t="shared" si="25"/>
        <v>64774384.220000006</v>
      </c>
      <c r="M97" s="2">
        <f t="shared" si="25"/>
        <v>75480113.579999998</v>
      </c>
      <c r="N97" s="2">
        <f t="shared" si="25"/>
        <v>65031804.82</v>
      </c>
      <c r="O97" s="2">
        <f t="shared" si="25"/>
        <v>72791361.200000003</v>
      </c>
      <c r="P97" s="2">
        <f t="shared" si="25"/>
        <v>72572463.200000003</v>
      </c>
      <c r="Q97" s="2">
        <f t="shared" si="25"/>
        <v>72380297.609999999</v>
      </c>
      <c r="R97" s="2">
        <f t="shared" si="25"/>
        <v>65383680.850000001</v>
      </c>
      <c r="S97" s="2">
        <f t="shared" si="25"/>
        <v>72695876.399999991</v>
      </c>
      <c r="T97" s="2">
        <f t="shared" si="25"/>
        <v>65850024.600000001</v>
      </c>
      <c r="U97" s="2">
        <f t="shared" si="25"/>
        <v>69041659.049999997</v>
      </c>
      <c r="V97" s="2">
        <f t="shared" si="25"/>
        <v>68852972.399999991</v>
      </c>
      <c r="W97" s="2">
        <f t="shared" si="25"/>
        <v>65102023.400000006</v>
      </c>
      <c r="X97" s="2">
        <f t="shared" si="25"/>
        <v>64910950.400000006</v>
      </c>
      <c r="Y97" s="2">
        <f t="shared" si="25"/>
        <v>66208215.299999997</v>
      </c>
      <c r="Z97" s="2">
        <f t="shared" si="25"/>
        <v>65394874.099999994</v>
      </c>
      <c r="AA97" s="16">
        <f t="shared" si="22"/>
        <v>14182522.93</v>
      </c>
      <c r="AB97" s="16">
        <f t="shared" si="22"/>
        <v>12430432.640000001</v>
      </c>
      <c r="AC97" s="16">
        <f t="shared" si="22"/>
        <v>21526116.329999998</v>
      </c>
      <c r="AD97" s="16">
        <f t="shared" si="22"/>
        <v>20453326.48</v>
      </c>
      <c r="AE97" s="23">
        <f t="shared" si="23"/>
        <v>8168917.8400000008</v>
      </c>
      <c r="AF97" s="23">
        <f t="shared" si="23"/>
        <v>93556.36</v>
      </c>
      <c r="AG97" s="23">
        <f t="shared" si="23"/>
        <v>7493731.0800000001</v>
      </c>
      <c r="AH97" s="23">
        <f t="shared" si="23"/>
        <v>0</v>
      </c>
      <c r="AI97" s="16">
        <f t="shared" si="23"/>
        <v>6002746.2800000012</v>
      </c>
      <c r="AJ97" s="16">
        <f t="shared" si="23"/>
        <v>92285.57</v>
      </c>
      <c r="AK97" s="16">
        <f t="shared" si="23"/>
        <v>5647572.7300000004</v>
      </c>
      <c r="AL97" s="16">
        <f t="shared" si="23"/>
        <v>0</v>
      </c>
      <c r="AM97" s="16">
        <f>AM13+AM38+AM45+AM52+AM59+AM66+AM80+AM87+AM19+AM25+AM31</f>
        <v>691452</v>
      </c>
      <c r="AN97" s="16">
        <f t="shared" si="24"/>
        <v>0</v>
      </c>
      <c r="AO97" s="16">
        <f t="shared" si="24"/>
        <v>431884</v>
      </c>
      <c r="AP97" s="16">
        <f t="shared" si="24"/>
        <v>0</v>
      </c>
      <c r="AQ97" s="37"/>
      <c r="AR97" s="37"/>
    </row>
    <row r="98" spans="1:44" x14ac:dyDescent="0.25">
      <c r="A98" s="109" t="s">
        <v>16</v>
      </c>
      <c r="B98" s="132"/>
      <c r="C98" s="2">
        <f t="shared" ref="C98:Z98" si="26">C14+C39+C46+C53+C60+C67+C74+C81+C88</f>
        <v>0</v>
      </c>
      <c r="D98" s="2">
        <f t="shared" si="26"/>
        <v>0</v>
      </c>
      <c r="E98" s="2">
        <f t="shared" si="26"/>
        <v>1669019.14</v>
      </c>
      <c r="F98" s="2">
        <f t="shared" si="26"/>
        <v>1882435.7999999998</v>
      </c>
      <c r="G98" s="2">
        <f t="shared" si="26"/>
        <v>1912163.48</v>
      </c>
      <c r="H98" s="2">
        <f t="shared" si="26"/>
        <v>1882435.8</v>
      </c>
      <c r="I98" s="2">
        <f t="shared" si="26"/>
        <v>1912257.9000000001</v>
      </c>
      <c r="J98" s="2">
        <f t="shared" si="26"/>
        <v>1882435.8</v>
      </c>
      <c r="K98" s="2">
        <f t="shared" si="26"/>
        <v>1882435.8</v>
      </c>
      <c r="L98" s="2">
        <f t="shared" si="26"/>
        <v>1882435.8</v>
      </c>
      <c r="M98" s="2">
        <f t="shared" si="26"/>
        <v>1882435.8</v>
      </c>
      <c r="N98" s="2">
        <f t="shared" si="26"/>
        <v>1882435.8</v>
      </c>
      <c r="O98" s="2">
        <f t="shared" si="26"/>
        <v>1918227.3900000001</v>
      </c>
      <c r="P98" s="2">
        <f t="shared" si="26"/>
        <v>1882435.8</v>
      </c>
      <c r="Q98" s="2">
        <f t="shared" si="26"/>
        <v>1914435.79</v>
      </c>
      <c r="R98" s="2">
        <f t="shared" si="26"/>
        <v>1882435.8</v>
      </c>
      <c r="S98" s="2">
        <f t="shared" si="26"/>
        <v>1914497.09</v>
      </c>
      <c r="T98" s="2">
        <f t="shared" si="26"/>
        <v>1882435.8</v>
      </c>
      <c r="U98" s="2">
        <f t="shared" si="26"/>
        <v>1917459.72</v>
      </c>
      <c r="V98" s="2">
        <f t="shared" si="26"/>
        <v>1882435.8</v>
      </c>
      <c r="W98" s="2">
        <f t="shared" si="26"/>
        <v>1904985.28</v>
      </c>
      <c r="X98" s="2">
        <f t="shared" si="26"/>
        <v>1882435.8</v>
      </c>
      <c r="Y98" s="2">
        <f t="shared" si="26"/>
        <v>30983920.480000004</v>
      </c>
      <c r="Z98" s="2">
        <f t="shared" si="26"/>
        <v>30913688.039999999</v>
      </c>
      <c r="AA98" s="16">
        <f t="shared" si="22"/>
        <v>4406576.5</v>
      </c>
      <c r="AB98" s="16">
        <f t="shared" si="22"/>
        <v>2369961.35</v>
      </c>
      <c r="AC98" s="16">
        <f t="shared" si="22"/>
        <v>40352793.869999997</v>
      </c>
      <c r="AD98" s="16">
        <f t="shared" si="22"/>
        <v>38134374.859999999</v>
      </c>
      <c r="AE98" s="23">
        <f t="shared" si="23"/>
        <v>33550836.390000001</v>
      </c>
      <c r="AF98" s="23">
        <f t="shared" si="23"/>
        <v>1362588.5</v>
      </c>
      <c r="AG98" s="23">
        <f t="shared" si="23"/>
        <v>31200607.219999999</v>
      </c>
      <c r="AH98" s="23">
        <f t="shared" si="23"/>
        <v>660120.76</v>
      </c>
      <c r="AI98" s="16">
        <f t="shared" si="23"/>
        <v>7870302.5999999996</v>
      </c>
      <c r="AJ98" s="16">
        <f t="shared" si="23"/>
        <v>2860480.3600000003</v>
      </c>
      <c r="AK98" s="16">
        <f t="shared" si="23"/>
        <v>5005157.24</v>
      </c>
      <c r="AL98" s="16">
        <f t="shared" si="23"/>
        <v>0</v>
      </c>
      <c r="AM98" s="16">
        <f>AM14+AM39+AM46+AM53+AM60+AM67+AM81+AM88+AM20+AM26+AM32</f>
        <v>1855184.5</v>
      </c>
      <c r="AN98" s="16">
        <f t="shared" si="24"/>
        <v>626500.89</v>
      </c>
      <c r="AO98" s="16">
        <f t="shared" si="24"/>
        <v>0</v>
      </c>
      <c r="AP98" s="16">
        <f t="shared" si="24"/>
        <v>0</v>
      </c>
      <c r="AQ98" s="37"/>
      <c r="AR98" s="37"/>
    </row>
    <row r="99" spans="1:44" x14ac:dyDescent="0.25">
      <c r="A99" s="133" t="s">
        <v>20</v>
      </c>
      <c r="B99" s="132"/>
      <c r="C99" s="3">
        <v>19700824</v>
      </c>
      <c r="D99" s="3"/>
      <c r="E99" s="3">
        <v>30646350</v>
      </c>
      <c r="F99" s="3"/>
      <c r="G99" s="3">
        <v>30646350</v>
      </c>
      <c r="H99" s="3"/>
      <c r="I99" s="3">
        <v>30646350</v>
      </c>
      <c r="J99" s="3"/>
      <c r="K99" s="3">
        <v>30646350</v>
      </c>
      <c r="L99" s="3"/>
      <c r="M99" s="3">
        <v>30646350</v>
      </c>
      <c r="N99" s="3"/>
      <c r="O99" s="3">
        <v>30646350</v>
      </c>
      <c r="P99" s="3"/>
      <c r="Q99" s="3">
        <v>30646350</v>
      </c>
      <c r="R99" s="3"/>
      <c r="S99" s="3">
        <v>39646350</v>
      </c>
      <c r="T99" s="3"/>
      <c r="U99" s="3">
        <v>39646350</v>
      </c>
      <c r="V99" s="3"/>
      <c r="W99" s="3">
        <v>39646350</v>
      </c>
      <c r="X99" s="3"/>
      <c r="Y99" s="3">
        <v>39592849</v>
      </c>
      <c r="Z99" s="3"/>
      <c r="AA99" s="22">
        <v>43884741</v>
      </c>
      <c r="AB99" s="18"/>
      <c r="AC99" s="22">
        <v>38729175</v>
      </c>
      <c r="AD99" s="18"/>
      <c r="AE99" s="3">
        <v>15529000</v>
      </c>
      <c r="AF99" s="18"/>
      <c r="AG99" s="18"/>
      <c r="AH99" s="18"/>
      <c r="AI99" s="22">
        <v>1250000</v>
      </c>
      <c r="AJ99" s="22"/>
      <c r="AK99" s="22"/>
      <c r="AL99" s="22"/>
      <c r="AM99" s="22">
        <v>0</v>
      </c>
      <c r="AN99" s="22"/>
      <c r="AO99" s="22"/>
      <c r="AP99" s="22"/>
      <c r="AQ99" s="37"/>
      <c r="AR99" s="37"/>
    </row>
    <row r="100" spans="1:44" x14ac:dyDescent="0.25">
      <c r="A100" s="133" t="s">
        <v>21</v>
      </c>
      <c r="B100" s="132"/>
      <c r="C100" s="3">
        <f t="shared" ref="C100:AA100" si="27">C93+C99</f>
        <v>114288501.81999999</v>
      </c>
      <c r="D100" s="3">
        <f t="shared" si="27"/>
        <v>68008770.719999999</v>
      </c>
      <c r="E100" s="3">
        <f t="shared" si="27"/>
        <v>116511079.75999999</v>
      </c>
      <c r="F100" s="3">
        <f t="shared" si="27"/>
        <v>66510808.209999993</v>
      </c>
      <c r="G100" s="3">
        <f t="shared" si="27"/>
        <v>124157416.09000002</v>
      </c>
      <c r="H100" s="3">
        <f t="shared" si="27"/>
        <v>66963948.660000004</v>
      </c>
      <c r="I100" s="3">
        <f t="shared" si="27"/>
        <v>123086498.88000001</v>
      </c>
      <c r="J100" s="3">
        <f t="shared" si="27"/>
        <v>69371696.100000009</v>
      </c>
      <c r="K100" s="3">
        <f t="shared" si="27"/>
        <v>124338367.95999999</v>
      </c>
      <c r="L100" s="3">
        <f t="shared" si="27"/>
        <v>72494645.030000001</v>
      </c>
      <c r="M100" s="3">
        <f t="shared" si="27"/>
        <v>125996638.34</v>
      </c>
      <c r="N100" s="3">
        <f t="shared" si="27"/>
        <v>74699098.340000004</v>
      </c>
      <c r="O100" s="3">
        <f t="shared" si="27"/>
        <v>123599288.27</v>
      </c>
      <c r="P100" s="3">
        <f t="shared" si="27"/>
        <v>82357876.220000014</v>
      </c>
      <c r="Q100" s="3">
        <f t="shared" si="27"/>
        <v>128095881.20999998</v>
      </c>
      <c r="R100" s="3">
        <f t="shared" si="27"/>
        <v>74441297.569999993</v>
      </c>
      <c r="S100" s="3">
        <f t="shared" si="27"/>
        <v>136401625.49000001</v>
      </c>
      <c r="T100" s="3">
        <f t="shared" si="27"/>
        <v>74719949.890000001</v>
      </c>
      <c r="U100" s="3">
        <f t="shared" si="27"/>
        <v>136999081.71999997</v>
      </c>
      <c r="V100" s="3">
        <f t="shared" si="27"/>
        <v>74918061.669999987</v>
      </c>
      <c r="W100" s="3">
        <f t="shared" si="27"/>
        <v>143078032.53</v>
      </c>
      <c r="X100" s="3">
        <f t="shared" si="27"/>
        <v>71550048.36999999</v>
      </c>
      <c r="Y100" s="3">
        <f t="shared" si="27"/>
        <v>179105676.16999999</v>
      </c>
      <c r="Z100" s="3">
        <f t="shared" si="27"/>
        <v>116277638.82999998</v>
      </c>
      <c r="AA100" s="22">
        <f t="shared" si="27"/>
        <v>180677679.08000001</v>
      </c>
      <c r="AB100" s="22">
        <f>AB93+AB99</f>
        <v>43344897.469999999</v>
      </c>
      <c r="AC100" s="22">
        <f t="shared" ref="AC100:AP100" si="28">AC93+AC99</f>
        <v>249815793.58000001</v>
      </c>
      <c r="AD100" s="22">
        <f t="shared" si="28"/>
        <v>119975047.31999999</v>
      </c>
      <c r="AE100" s="3">
        <f t="shared" si="28"/>
        <v>225591888.64999998</v>
      </c>
      <c r="AF100" s="3">
        <f t="shared" si="28"/>
        <v>99495187.609999999</v>
      </c>
      <c r="AG100" s="3">
        <f t="shared" si="28"/>
        <v>86313931.799999982</v>
      </c>
      <c r="AH100" s="3">
        <f t="shared" si="28"/>
        <v>23141374.309999999</v>
      </c>
      <c r="AI100" s="22">
        <f t="shared" si="28"/>
        <v>130196217.90000001</v>
      </c>
      <c r="AJ100" s="22">
        <f t="shared" si="28"/>
        <v>32163242.649999999</v>
      </c>
      <c r="AK100" s="22">
        <f t="shared" si="28"/>
        <v>14429840.109999999</v>
      </c>
      <c r="AL100" s="22">
        <f t="shared" si="28"/>
        <v>0</v>
      </c>
      <c r="AM100" s="22">
        <f t="shared" si="28"/>
        <v>111670434.12999998</v>
      </c>
      <c r="AN100" s="22">
        <f t="shared" si="28"/>
        <v>28823353.870000001</v>
      </c>
      <c r="AO100" s="22">
        <f t="shared" si="28"/>
        <v>3131884</v>
      </c>
      <c r="AP100" s="22">
        <f t="shared" si="28"/>
        <v>0</v>
      </c>
      <c r="AQ100" s="36">
        <f>AM100/AI100-1</f>
        <v>-0.14229125906122053</v>
      </c>
      <c r="AR100" s="36">
        <f>AO100/AK100-1</f>
        <v>-0.78295781684860266</v>
      </c>
    </row>
    <row r="101" spans="1:44" hidden="1" x14ac:dyDescent="0.25">
      <c r="A101" s="109" t="s">
        <v>22</v>
      </c>
      <c r="B101" s="13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idden="1" x14ac:dyDescent="0.25">
      <c r="A102" s="109" t="s">
        <v>27</v>
      </c>
      <c r="B102" s="132"/>
      <c r="C102" s="4">
        <v>102575991</v>
      </c>
      <c r="D102" s="4">
        <v>63430848.460000001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idden="1" x14ac:dyDescent="0.25">
      <c r="A103" s="109" t="s">
        <v>26</v>
      </c>
      <c r="B103" s="132"/>
      <c r="C103" s="4">
        <f>C100-C102</f>
        <v>11712510.819999993</v>
      </c>
      <c r="D103" s="4">
        <f>D100-D102</f>
        <v>4577922.2599999979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idden="1" x14ac:dyDescent="0.25">
      <c r="A104" s="109" t="s">
        <v>40</v>
      </c>
      <c r="B104" s="13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1">
        <v>2369961.35</v>
      </c>
      <c r="AB104" s="21">
        <v>2369961.35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x14ac:dyDescent="0.25">
      <c r="AM105" s="48"/>
      <c r="AN105" s="48"/>
      <c r="AO105" s="48"/>
      <c r="AP105" s="48"/>
      <c r="AQ105" s="48"/>
      <c r="AR105" s="48"/>
    </row>
    <row r="106" spans="1:44" x14ac:dyDescent="0.25">
      <c r="AM106" s="48"/>
      <c r="AN106" s="48"/>
      <c r="AO106" s="48"/>
      <c r="AP106" s="48"/>
      <c r="AQ106" s="48"/>
      <c r="AR106" s="48"/>
    </row>
    <row r="107" spans="1:44" x14ac:dyDescent="0.25">
      <c r="AM107" s="48"/>
      <c r="AN107" s="48"/>
      <c r="AO107" s="48"/>
      <c r="AP107" s="48"/>
      <c r="AQ107" s="48"/>
      <c r="AR107" s="48"/>
    </row>
    <row r="108" spans="1:44" x14ac:dyDescent="0.25">
      <c r="AM108" s="48"/>
      <c r="AN108" s="48"/>
      <c r="AO108" s="48"/>
      <c r="AP108" s="48"/>
      <c r="AQ108" s="48"/>
      <c r="AR108" s="48"/>
    </row>
    <row r="109" spans="1:44" x14ac:dyDescent="0.25">
      <c r="AM109" s="48"/>
      <c r="AN109" s="48"/>
      <c r="AO109" s="48"/>
      <c r="AP109" s="48"/>
      <c r="AQ109" s="48"/>
      <c r="AR109" s="48"/>
    </row>
    <row r="110" spans="1:44" x14ac:dyDescent="0.25">
      <c r="AM110" s="48"/>
      <c r="AN110" s="48"/>
      <c r="AO110" s="48"/>
      <c r="AP110" s="48"/>
      <c r="AQ110" s="48"/>
      <c r="AR110" s="48"/>
    </row>
    <row r="111" spans="1:44" x14ac:dyDescent="0.25">
      <c r="AM111" s="48"/>
      <c r="AN111" s="48"/>
      <c r="AO111" s="48"/>
      <c r="AP111" s="48"/>
      <c r="AQ111" s="48"/>
      <c r="AR111" s="48"/>
    </row>
    <row r="112" spans="1:44" x14ac:dyDescent="0.25">
      <c r="AM112" s="48"/>
      <c r="AN112" s="48"/>
      <c r="AO112" s="48"/>
      <c r="AP112" s="48"/>
      <c r="AQ112" s="48"/>
      <c r="AR112" s="48"/>
    </row>
    <row r="113" spans="39:44" x14ac:dyDescent="0.25">
      <c r="AM113" s="48"/>
      <c r="AN113" s="48"/>
      <c r="AO113" s="48"/>
      <c r="AP113" s="48"/>
      <c r="AQ113" s="48"/>
      <c r="AR113" s="48"/>
    </row>
    <row r="114" spans="39:44" x14ac:dyDescent="0.25">
      <c r="AM114" s="48"/>
      <c r="AN114" s="48"/>
      <c r="AO114" s="48"/>
      <c r="AP114" s="48"/>
      <c r="AQ114" s="48"/>
      <c r="AR114" s="48"/>
    </row>
  </sheetData>
  <mergeCells count="470"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E5:AH6"/>
    <mergeCell ref="AI5:AL6"/>
    <mergeCell ref="AM5:AP6"/>
    <mergeCell ref="AQ5:AR6"/>
    <mergeCell ref="Y5:Z6"/>
    <mergeCell ref="AA5:AB6"/>
    <mergeCell ref="AC5:AD6"/>
    <mergeCell ref="A8:B9"/>
    <mergeCell ref="C8:C9"/>
    <mergeCell ref="D8:D9"/>
    <mergeCell ref="E8:E9"/>
    <mergeCell ref="F8:F9"/>
    <mergeCell ref="G8:G9"/>
    <mergeCell ref="S5:T6"/>
    <mergeCell ref="U5:V6"/>
    <mergeCell ref="W5:X6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A15:B15"/>
    <mergeCell ref="A16:B16"/>
    <mergeCell ref="A17:B17"/>
    <mergeCell ref="A18:B18"/>
    <mergeCell ref="A19:B19"/>
    <mergeCell ref="A20:B20"/>
    <mergeCell ref="AR8:AR9"/>
    <mergeCell ref="A10:B10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J8:AJ9"/>
    <mergeCell ref="AK8:AK9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AR33:AR34"/>
    <mergeCell ref="A35:B35"/>
    <mergeCell ref="A36:B36"/>
    <mergeCell ref="A37:B37"/>
    <mergeCell ref="A38:B38"/>
    <mergeCell ref="A39:B39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H40:H41"/>
    <mergeCell ref="I40:I41"/>
    <mergeCell ref="J40:J41"/>
    <mergeCell ref="K40:K41"/>
    <mergeCell ref="L40:L41"/>
    <mergeCell ref="M40:M41"/>
    <mergeCell ref="A40:B41"/>
    <mergeCell ref="C40:C41"/>
    <mergeCell ref="D40:D41"/>
    <mergeCell ref="E40:E41"/>
    <mergeCell ref="F40:F41"/>
    <mergeCell ref="G40:G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R40:AR41"/>
    <mergeCell ref="A42:B42"/>
    <mergeCell ref="A43:B43"/>
    <mergeCell ref="A44:B44"/>
    <mergeCell ref="A45:B45"/>
    <mergeCell ref="A46:B46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AR47:AR48"/>
    <mergeCell ref="A49:B49"/>
    <mergeCell ref="A50:B50"/>
    <mergeCell ref="A51:B51"/>
    <mergeCell ref="A52:B52"/>
    <mergeCell ref="A53:B53"/>
    <mergeCell ref="AL47:AL48"/>
    <mergeCell ref="AM47:AM48"/>
    <mergeCell ref="AN47:AN48"/>
    <mergeCell ref="AO47:AO48"/>
    <mergeCell ref="AP47:AP48"/>
    <mergeCell ref="AQ47:AQ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H54:H55"/>
    <mergeCell ref="I54:I55"/>
    <mergeCell ref="J54:J55"/>
    <mergeCell ref="K54:K55"/>
    <mergeCell ref="L54:L55"/>
    <mergeCell ref="M54:M55"/>
    <mergeCell ref="A54:B55"/>
    <mergeCell ref="C54:C55"/>
    <mergeCell ref="D54:D55"/>
    <mergeCell ref="E54:E55"/>
    <mergeCell ref="F54:F55"/>
    <mergeCell ref="G54:G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AR54:AR55"/>
    <mergeCell ref="A56:B56"/>
    <mergeCell ref="A57:B57"/>
    <mergeCell ref="A58:B58"/>
    <mergeCell ref="A59:B59"/>
    <mergeCell ref="A60:B60"/>
    <mergeCell ref="AL54:AL55"/>
    <mergeCell ref="AM54:AM55"/>
    <mergeCell ref="AN54:AN55"/>
    <mergeCell ref="AO54:AO55"/>
    <mergeCell ref="AP54:AP55"/>
    <mergeCell ref="AQ54:AQ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H61:H62"/>
    <mergeCell ref="I61:I62"/>
    <mergeCell ref="J61:J62"/>
    <mergeCell ref="K61:K62"/>
    <mergeCell ref="L61:L62"/>
    <mergeCell ref="M61:M62"/>
    <mergeCell ref="A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AR61:AR62"/>
    <mergeCell ref="A63:B63"/>
    <mergeCell ref="A64:B64"/>
    <mergeCell ref="A65:B65"/>
    <mergeCell ref="A66:B66"/>
    <mergeCell ref="A67:B67"/>
    <mergeCell ref="AL61:AL62"/>
    <mergeCell ref="AM61:AM62"/>
    <mergeCell ref="AN61:AN62"/>
    <mergeCell ref="AO61:AO62"/>
    <mergeCell ref="AP61:AP62"/>
    <mergeCell ref="AQ61:AQ62"/>
    <mergeCell ref="AF61:AF62"/>
    <mergeCell ref="AG61:AG62"/>
    <mergeCell ref="AH61:AH62"/>
    <mergeCell ref="AI61:AI62"/>
    <mergeCell ref="AJ61:AJ62"/>
    <mergeCell ref="AK61:AK62"/>
    <mergeCell ref="Z61:Z62"/>
    <mergeCell ref="AA61:AA62"/>
    <mergeCell ref="AB61:AB62"/>
    <mergeCell ref="AC61:AC62"/>
    <mergeCell ref="AD61:AD62"/>
    <mergeCell ref="AE61:AE62"/>
    <mergeCell ref="H68:H69"/>
    <mergeCell ref="I68:I69"/>
    <mergeCell ref="J68:J69"/>
    <mergeCell ref="K68:K69"/>
    <mergeCell ref="L68:L69"/>
    <mergeCell ref="M68:M69"/>
    <mergeCell ref="A68:B69"/>
    <mergeCell ref="C68:C69"/>
    <mergeCell ref="D68:D69"/>
    <mergeCell ref="E68:E69"/>
    <mergeCell ref="F68:F69"/>
    <mergeCell ref="G68:G69"/>
    <mergeCell ref="A73:B73"/>
    <mergeCell ref="A74:B74"/>
    <mergeCell ref="A75:B76"/>
    <mergeCell ref="C75:C76"/>
    <mergeCell ref="D75:D76"/>
    <mergeCell ref="E75:E76"/>
    <mergeCell ref="Z68:Z69"/>
    <mergeCell ref="AQ68:AQ69"/>
    <mergeCell ref="AR68:AR69"/>
    <mergeCell ref="A70:B70"/>
    <mergeCell ref="A71:B71"/>
    <mergeCell ref="A72:B72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L75:L76"/>
    <mergeCell ref="M75:M76"/>
    <mergeCell ref="N75:N76"/>
    <mergeCell ref="O75:O76"/>
    <mergeCell ref="P75:P76"/>
    <mergeCell ref="Q75:Q76"/>
    <mergeCell ref="F75:F76"/>
    <mergeCell ref="G75:G76"/>
    <mergeCell ref="H75:H76"/>
    <mergeCell ref="I75:I76"/>
    <mergeCell ref="J75:J76"/>
    <mergeCell ref="K75:K76"/>
    <mergeCell ref="X75:X76"/>
    <mergeCell ref="Y75:Y76"/>
    <mergeCell ref="Z75:Z76"/>
    <mergeCell ref="AA75:AA76"/>
    <mergeCell ref="AB75:AB76"/>
    <mergeCell ref="AC75:AC76"/>
    <mergeCell ref="R75:R76"/>
    <mergeCell ref="S75:S76"/>
    <mergeCell ref="T75:T76"/>
    <mergeCell ref="U75:U76"/>
    <mergeCell ref="V75:V76"/>
    <mergeCell ref="W75:W76"/>
    <mergeCell ref="A80:B80"/>
    <mergeCell ref="A81:B81"/>
    <mergeCell ref="A82:B83"/>
    <mergeCell ref="C82:C83"/>
    <mergeCell ref="D82:D83"/>
    <mergeCell ref="E82:E83"/>
    <mergeCell ref="AP75:AP76"/>
    <mergeCell ref="AQ75:AQ76"/>
    <mergeCell ref="AR75:AR76"/>
    <mergeCell ref="A77:B77"/>
    <mergeCell ref="A78:B78"/>
    <mergeCell ref="A79:B79"/>
    <mergeCell ref="AJ75:AJ76"/>
    <mergeCell ref="AK75:AK76"/>
    <mergeCell ref="AL75:AL76"/>
    <mergeCell ref="AM75:AM76"/>
    <mergeCell ref="AN75:AN76"/>
    <mergeCell ref="AO75:AO76"/>
    <mergeCell ref="AD75:AD76"/>
    <mergeCell ref="AE75:AE76"/>
    <mergeCell ref="AF75:AF76"/>
    <mergeCell ref="AG75:AG76"/>
    <mergeCell ref="AH75:AH76"/>
    <mergeCell ref="AI75:AI76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X82:X83"/>
    <mergeCell ref="Y82:Y83"/>
    <mergeCell ref="Z82:Z83"/>
    <mergeCell ref="AA82:AA83"/>
    <mergeCell ref="AB82:AB83"/>
    <mergeCell ref="AC82:AC83"/>
    <mergeCell ref="R82:R83"/>
    <mergeCell ref="S82:S83"/>
    <mergeCell ref="T82:T83"/>
    <mergeCell ref="U82:U83"/>
    <mergeCell ref="V82:V83"/>
    <mergeCell ref="W82:W83"/>
    <mergeCell ref="A87:B87"/>
    <mergeCell ref="A88:B88"/>
    <mergeCell ref="AQ89:AQ90"/>
    <mergeCell ref="AR89:AR90"/>
    <mergeCell ref="A90:B90"/>
    <mergeCell ref="A91:B91"/>
    <mergeCell ref="AP82:AP83"/>
    <mergeCell ref="AQ82:AQ83"/>
    <mergeCell ref="AR82:AR83"/>
    <mergeCell ref="A84:B84"/>
    <mergeCell ref="A85:B85"/>
    <mergeCell ref="A86:B86"/>
    <mergeCell ref="AJ82:AJ83"/>
    <mergeCell ref="AK82:AK83"/>
    <mergeCell ref="AL82:AL83"/>
    <mergeCell ref="AM82:AM83"/>
    <mergeCell ref="AN82:AN83"/>
    <mergeCell ref="AO82:AO83"/>
    <mergeCell ref="AD82:AD83"/>
    <mergeCell ref="AE82:AE83"/>
    <mergeCell ref="AF82:AF83"/>
    <mergeCell ref="AG82:AG83"/>
    <mergeCell ref="AH82:AH83"/>
    <mergeCell ref="AI82:AI83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</mergeCells>
  <pageMargins left="0.7" right="0.7" top="0.75" bottom="0.75" header="0.3" footer="0.3"/>
  <pageSetup paperSize="9" scale="5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114"/>
  <sheetViews>
    <sheetView topLeftCell="A52" zoomScaleNormal="100" workbookViewId="0">
      <selection activeCell="AT18" sqref="AT18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38" width="14" customWidth="1"/>
    <col min="39" max="39" width="16" customWidth="1"/>
    <col min="40" max="42" width="14" customWidth="1"/>
    <col min="44" max="44" width="9.42578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43800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51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3940963.13</v>
      </c>
      <c r="AN8" s="120">
        <f>AN10+AN11+AN12+AN13+AN14</f>
        <v>332749.68</v>
      </c>
      <c r="AO8" s="120">
        <v>0</v>
      </c>
      <c r="AP8" s="120">
        <v>0</v>
      </c>
      <c r="AQ8" s="116">
        <f>AM8/AI8-1</f>
        <v>-0.90690729897866706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47.25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v>1413337.27</v>
      </c>
      <c r="AN10" s="19">
        <v>37117.379999999997</v>
      </c>
      <c r="AO10" s="19"/>
      <c r="AP10" s="19"/>
      <c r="AQ10" s="34"/>
      <c r="AR10" s="34"/>
    </row>
    <row r="11" spans="1:44" ht="15" customHeight="1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v>1740614.08</v>
      </c>
      <c r="AN11" s="19">
        <v>205190.03</v>
      </c>
      <c r="AO11" s="19"/>
      <c r="AP11" s="19"/>
      <c r="AQ11" s="34"/>
      <c r="AR11" s="34"/>
    </row>
    <row r="12" spans="1:44" ht="43.5" customHeight="1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>
        <v>787011.78</v>
      </c>
      <c r="AN12" s="19">
        <v>90442.27</v>
      </c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/>
      <c r="AN13" s="19"/>
      <c r="AO13" s="19"/>
      <c r="AP13" s="19"/>
      <c r="AQ13" s="34"/>
      <c r="AR13" s="34"/>
    </row>
    <row r="14" spans="1:44" ht="30" customHeight="1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36" t="s">
        <v>48</v>
      </c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1"/>
      <c r="AD15" s="51"/>
      <c r="AE15" s="50"/>
      <c r="AF15" s="50"/>
      <c r="AG15" s="50"/>
      <c r="AH15" s="50"/>
      <c r="AI15" s="51"/>
      <c r="AJ15" s="51"/>
      <c r="AK15" s="51"/>
      <c r="AL15" s="51"/>
      <c r="AM15" s="70">
        <f>AM16+AM17+AM18+AM19+AM20</f>
        <v>77553041.12999998</v>
      </c>
      <c r="AN15" s="70">
        <f>AN16+AN17+AN18+AN19+AN20</f>
        <v>48864245.850000001</v>
      </c>
      <c r="AO15" s="70">
        <f t="shared" ref="AO15:AP15" si="1">AO16+AO17+AO18+AO19+AO20</f>
        <v>0</v>
      </c>
      <c r="AP15" s="70">
        <f t="shared" si="1"/>
        <v>0</v>
      </c>
      <c r="AQ15" s="55"/>
      <c r="AR15" s="55"/>
    </row>
    <row r="16" spans="1:44" ht="44.25" customHeight="1" x14ac:dyDescent="0.25">
      <c r="A16" s="109" t="s">
        <v>11</v>
      </c>
      <c r="B16" s="11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1"/>
      <c r="AD16" s="51"/>
      <c r="AE16" s="50"/>
      <c r="AF16" s="50"/>
      <c r="AG16" s="50"/>
      <c r="AH16" s="50"/>
      <c r="AI16" s="51"/>
      <c r="AJ16" s="51"/>
      <c r="AK16" s="51"/>
      <c r="AL16" s="51"/>
      <c r="AM16" s="51">
        <f>75622601.63+175740.1</f>
        <v>75798341.729999989</v>
      </c>
      <c r="AN16" s="51">
        <v>48864245.850000001</v>
      </c>
      <c r="AO16" s="51"/>
      <c r="AP16" s="51"/>
      <c r="AQ16" s="55"/>
      <c r="AR16" s="55"/>
    </row>
    <row r="17" spans="1:44" x14ac:dyDescent="0.25">
      <c r="A17" s="109" t="s">
        <v>8</v>
      </c>
      <c r="B17" s="11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1"/>
      <c r="AD17" s="51"/>
      <c r="AE17" s="50"/>
      <c r="AF17" s="50"/>
      <c r="AG17" s="50"/>
      <c r="AH17" s="50"/>
      <c r="AI17" s="51"/>
      <c r="AJ17" s="51"/>
      <c r="AK17" s="51"/>
      <c r="AL17" s="51"/>
      <c r="AM17" s="51">
        <v>1257561.19</v>
      </c>
      <c r="AN17" s="51"/>
      <c r="AO17" s="51"/>
      <c r="AP17" s="51"/>
      <c r="AQ17" s="55"/>
      <c r="AR17" s="55"/>
    </row>
    <row r="18" spans="1:44" ht="45" customHeight="1" x14ac:dyDescent="0.25">
      <c r="A18" s="109" t="s">
        <v>9</v>
      </c>
      <c r="B18" s="11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1"/>
      <c r="AD18" s="51"/>
      <c r="AE18" s="50"/>
      <c r="AF18" s="50"/>
      <c r="AG18" s="50"/>
      <c r="AH18" s="50"/>
      <c r="AI18" s="51"/>
      <c r="AJ18" s="51"/>
      <c r="AK18" s="51"/>
      <c r="AL18" s="51"/>
      <c r="AM18" s="51">
        <v>497138.21</v>
      </c>
      <c r="AN18" s="51"/>
      <c r="AO18" s="51"/>
      <c r="AP18" s="51"/>
      <c r="AQ18" s="55"/>
      <c r="AR18" s="55"/>
    </row>
    <row r="19" spans="1:44" x14ac:dyDescent="0.25">
      <c r="A19" s="109" t="s">
        <v>10</v>
      </c>
      <c r="B19" s="11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1"/>
      <c r="AD19" s="51"/>
      <c r="AE19" s="50"/>
      <c r="AF19" s="50"/>
      <c r="AG19" s="50"/>
      <c r="AH19" s="50"/>
      <c r="AI19" s="51"/>
      <c r="AJ19" s="51"/>
      <c r="AK19" s="51"/>
      <c r="AL19" s="51"/>
      <c r="AM19" s="51"/>
      <c r="AN19" s="51"/>
      <c r="AO19" s="51"/>
      <c r="AP19" s="51"/>
      <c r="AQ19" s="55"/>
      <c r="AR19" s="55"/>
    </row>
    <row r="20" spans="1:44" ht="30.75" customHeight="1" x14ac:dyDescent="0.25">
      <c r="A20" s="109" t="s">
        <v>16</v>
      </c>
      <c r="B20" s="1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1"/>
      <c r="AD20" s="51"/>
      <c r="AE20" s="50"/>
      <c r="AF20" s="50"/>
      <c r="AG20" s="50"/>
      <c r="AH20" s="50"/>
      <c r="AI20" s="51"/>
      <c r="AJ20" s="51"/>
      <c r="AK20" s="51"/>
      <c r="AL20" s="51"/>
      <c r="AM20" s="51"/>
      <c r="AN20" s="51"/>
      <c r="AO20" s="51"/>
      <c r="AP20" s="51"/>
      <c r="AQ20" s="55"/>
      <c r="AR20" s="55"/>
    </row>
    <row r="21" spans="1:44" x14ac:dyDescent="0.25">
      <c r="A21" s="136" t="s">
        <v>49</v>
      </c>
      <c r="B21" s="13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1"/>
      <c r="AD21" s="51"/>
      <c r="AE21" s="50"/>
      <c r="AF21" s="50"/>
      <c r="AG21" s="50"/>
      <c r="AH21" s="50"/>
      <c r="AI21" s="51"/>
      <c r="AJ21" s="51"/>
      <c r="AK21" s="51"/>
      <c r="AL21" s="51"/>
      <c r="AM21" s="69">
        <f>AM22+AM23+AM24+AM25+AM26</f>
        <v>5141781.32</v>
      </c>
      <c r="AN21" s="69">
        <f t="shared" ref="AN21:AP21" si="2">AN22+AN23+AN24+AN25+AN26</f>
        <v>0</v>
      </c>
      <c r="AO21" s="69">
        <v>0</v>
      </c>
      <c r="AP21" s="69">
        <f t="shared" si="2"/>
        <v>0</v>
      </c>
      <c r="AQ21" s="64"/>
      <c r="AR21" s="55"/>
    </row>
    <row r="22" spans="1:44" ht="45.75" customHeight="1" x14ac:dyDescent="0.25">
      <c r="A22" s="109" t="s">
        <v>11</v>
      </c>
      <c r="B22" s="11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1"/>
      <c r="AD22" s="51"/>
      <c r="AE22" s="50"/>
      <c r="AF22" s="50"/>
      <c r="AG22" s="50"/>
      <c r="AH22" s="50"/>
      <c r="AI22" s="51"/>
      <c r="AJ22" s="51"/>
      <c r="AK22" s="51"/>
      <c r="AL22" s="51"/>
      <c r="AM22" s="72">
        <f>4703006.09+45298.18</f>
        <v>4748304.2699999996</v>
      </c>
      <c r="AN22" s="72"/>
      <c r="AO22" s="72">
        <v>0</v>
      </c>
      <c r="AP22" s="72"/>
      <c r="AQ22" s="64"/>
      <c r="AR22" s="55"/>
    </row>
    <row r="23" spans="1:44" x14ac:dyDescent="0.25">
      <c r="A23" s="109" t="s">
        <v>8</v>
      </c>
      <c r="B23" s="11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1"/>
      <c r="AD23" s="51"/>
      <c r="AE23" s="50"/>
      <c r="AF23" s="50"/>
      <c r="AG23" s="50"/>
      <c r="AH23" s="50"/>
      <c r="AI23" s="51"/>
      <c r="AJ23" s="51"/>
      <c r="AK23" s="51"/>
      <c r="AL23" s="51"/>
      <c r="AM23" s="72">
        <v>260267.9</v>
      </c>
      <c r="AN23" s="72"/>
      <c r="AO23" s="72"/>
      <c r="AP23" s="72"/>
      <c r="AQ23" s="64"/>
      <c r="AR23" s="55"/>
    </row>
    <row r="24" spans="1:44" ht="44.25" customHeight="1" x14ac:dyDescent="0.25">
      <c r="A24" s="109" t="s">
        <v>9</v>
      </c>
      <c r="B24" s="11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1"/>
      <c r="AD24" s="51"/>
      <c r="AE24" s="50"/>
      <c r="AF24" s="50"/>
      <c r="AG24" s="50"/>
      <c r="AH24" s="50"/>
      <c r="AI24" s="51"/>
      <c r="AJ24" s="51"/>
      <c r="AK24" s="51"/>
      <c r="AL24" s="51"/>
      <c r="AM24" s="72">
        <v>133209.15</v>
      </c>
      <c r="AN24" s="72"/>
      <c r="AO24" s="72"/>
      <c r="AP24" s="72"/>
      <c r="AQ24" s="64"/>
      <c r="AR24" s="55"/>
    </row>
    <row r="25" spans="1:44" x14ac:dyDescent="0.25">
      <c r="A25" s="109" t="s">
        <v>10</v>
      </c>
      <c r="B25" s="1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1"/>
      <c r="AD25" s="51"/>
      <c r="AE25" s="50"/>
      <c r="AF25" s="50"/>
      <c r="AG25" s="50"/>
      <c r="AH25" s="50"/>
      <c r="AI25" s="51"/>
      <c r="AJ25" s="51"/>
      <c r="AK25" s="51"/>
      <c r="AL25" s="51"/>
      <c r="AM25" s="50"/>
      <c r="AN25" s="50"/>
      <c r="AO25" s="50"/>
      <c r="AP25" s="50"/>
      <c r="AQ25" s="64"/>
      <c r="AR25" s="55"/>
    </row>
    <row r="26" spans="1:44" ht="30" customHeight="1" x14ac:dyDescent="0.25">
      <c r="A26" s="109" t="s">
        <v>16</v>
      </c>
      <c r="B26" s="1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1"/>
      <c r="AD26" s="51"/>
      <c r="AE26" s="50"/>
      <c r="AF26" s="50"/>
      <c r="AG26" s="50"/>
      <c r="AH26" s="50"/>
      <c r="AI26" s="51"/>
      <c r="AJ26" s="51"/>
      <c r="AK26" s="51"/>
      <c r="AL26" s="51"/>
      <c r="AM26" s="50"/>
      <c r="AN26" s="50"/>
      <c r="AO26" s="50"/>
      <c r="AP26" s="50"/>
      <c r="AQ26" s="64"/>
      <c r="AR26" s="55"/>
    </row>
    <row r="27" spans="1:44" x14ac:dyDescent="0.25">
      <c r="A27" s="136" t="s">
        <v>50</v>
      </c>
      <c r="B27" s="1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1"/>
      <c r="AD27" s="51"/>
      <c r="AE27" s="50"/>
      <c r="AF27" s="50"/>
      <c r="AG27" s="50"/>
      <c r="AH27" s="50"/>
      <c r="AI27" s="51"/>
      <c r="AJ27" s="51"/>
      <c r="AK27" s="51"/>
      <c r="AL27" s="51"/>
      <c r="AM27" s="69">
        <f>AM28+AM29+AM30+AM31+AM32</f>
        <v>417779.04000000004</v>
      </c>
      <c r="AN27" s="69">
        <f t="shared" ref="AN27:AP27" si="3">AN28+AN29+AN30+AN31+AN32</f>
        <v>0</v>
      </c>
      <c r="AO27" s="69">
        <f t="shared" si="3"/>
        <v>0</v>
      </c>
      <c r="AP27" s="69">
        <f t="shared" si="3"/>
        <v>0</v>
      </c>
      <c r="AQ27" s="64"/>
      <c r="AR27" s="55"/>
    </row>
    <row r="28" spans="1:44" ht="44.25" customHeight="1" x14ac:dyDescent="0.25">
      <c r="A28" s="109" t="s">
        <v>11</v>
      </c>
      <c r="B28" s="1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1"/>
      <c r="AD28" s="51"/>
      <c r="AE28" s="50"/>
      <c r="AF28" s="50"/>
      <c r="AG28" s="50"/>
      <c r="AH28" s="50"/>
      <c r="AI28" s="51"/>
      <c r="AJ28" s="51"/>
      <c r="AK28" s="51"/>
      <c r="AL28" s="51"/>
      <c r="AM28" s="72">
        <v>10323.700000000001</v>
      </c>
      <c r="AN28" s="72"/>
      <c r="AO28" s="72"/>
      <c r="AP28" s="72"/>
      <c r="AQ28" s="64"/>
      <c r="AR28" s="55"/>
    </row>
    <row r="29" spans="1:44" x14ac:dyDescent="0.25">
      <c r="A29" s="109" t="s">
        <v>8</v>
      </c>
      <c r="B29" s="1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1"/>
      <c r="AD29" s="51"/>
      <c r="AE29" s="50"/>
      <c r="AF29" s="50"/>
      <c r="AG29" s="50"/>
      <c r="AH29" s="50"/>
      <c r="AI29" s="51"/>
      <c r="AJ29" s="51"/>
      <c r="AK29" s="51"/>
      <c r="AL29" s="51"/>
      <c r="AM29" s="72">
        <v>289931.25</v>
      </c>
      <c r="AN29" s="72"/>
      <c r="AO29" s="72"/>
      <c r="AP29" s="72"/>
      <c r="AQ29" s="64"/>
      <c r="AR29" s="55"/>
    </row>
    <row r="30" spans="1:44" ht="43.5" customHeight="1" x14ac:dyDescent="0.25">
      <c r="A30" s="109" t="s">
        <v>9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1"/>
      <c r="AD30" s="51"/>
      <c r="AE30" s="50"/>
      <c r="AF30" s="50"/>
      <c r="AG30" s="50"/>
      <c r="AH30" s="50"/>
      <c r="AI30" s="51"/>
      <c r="AJ30" s="51"/>
      <c r="AK30" s="51"/>
      <c r="AL30" s="51"/>
      <c r="AM30" s="72">
        <v>117524.09</v>
      </c>
      <c r="AN30" s="72"/>
      <c r="AO30" s="72"/>
      <c r="AP30" s="72"/>
      <c r="AQ30" s="64"/>
      <c r="AR30" s="55"/>
    </row>
    <row r="31" spans="1:44" x14ac:dyDescent="0.25">
      <c r="A31" s="109" t="s">
        <v>10</v>
      </c>
      <c r="B31" s="110"/>
      <c r="C31" s="6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1"/>
      <c r="AD31" s="51"/>
      <c r="AE31" s="50"/>
      <c r="AF31" s="50"/>
      <c r="AG31" s="50"/>
      <c r="AH31" s="50"/>
      <c r="AI31" s="51"/>
      <c r="AJ31" s="51"/>
      <c r="AK31" s="51"/>
      <c r="AL31" s="51"/>
      <c r="AM31" s="50"/>
      <c r="AN31" s="50"/>
      <c r="AO31" s="50"/>
      <c r="AP31" s="50"/>
      <c r="AQ31" s="64"/>
      <c r="AR31" s="64"/>
    </row>
    <row r="32" spans="1:44" ht="28.5" customHeight="1" x14ac:dyDescent="0.25">
      <c r="A32" s="109" t="s">
        <v>16</v>
      </c>
      <c r="B32" s="11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1"/>
      <c r="AD32" s="51"/>
      <c r="AE32" s="50"/>
      <c r="AF32" s="50"/>
      <c r="AG32" s="50"/>
      <c r="AH32" s="50"/>
      <c r="AI32" s="51"/>
      <c r="AJ32" s="51"/>
      <c r="AK32" s="51"/>
      <c r="AL32" s="51"/>
      <c r="AM32" s="50"/>
      <c r="AN32" s="50"/>
      <c r="AO32" s="50"/>
      <c r="AP32" s="50"/>
      <c r="AQ32" s="64"/>
      <c r="AR32" s="64"/>
    </row>
    <row r="33" spans="1:47" x14ac:dyDescent="0.25">
      <c r="A33" s="111" t="s">
        <v>1</v>
      </c>
      <c r="B33" s="112"/>
      <c r="C33" s="115">
        <f>SUM(C35:C39)</f>
        <v>0</v>
      </c>
      <c r="D33" s="115">
        <f>SUM(D35:D39)</f>
        <v>0</v>
      </c>
      <c r="E33" s="115">
        <f t="shared" ref="E33:AD33" si="4">SUM(E35:E39)</f>
        <v>35747.5</v>
      </c>
      <c r="F33" s="115">
        <f t="shared" si="4"/>
        <v>0</v>
      </c>
      <c r="G33" s="115">
        <f t="shared" si="4"/>
        <v>0</v>
      </c>
      <c r="H33" s="115">
        <f t="shared" si="4"/>
        <v>0</v>
      </c>
      <c r="I33" s="115">
        <f t="shared" si="4"/>
        <v>0</v>
      </c>
      <c r="J33" s="115">
        <f t="shared" si="4"/>
        <v>0</v>
      </c>
      <c r="K33" s="115">
        <f t="shared" si="4"/>
        <v>120756.41</v>
      </c>
      <c r="L33" s="115">
        <f t="shared" si="4"/>
        <v>0</v>
      </c>
      <c r="M33" s="115">
        <f t="shared" si="4"/>
        <v>144077.24</v>
      </c>
      <c r="N33" s="115">
        <f t="shared" si="4"/>
        <v>0</v>
      </c>
      <c r="O33" s="115">
        <f t="shared" si="4"/>
        <v>122267.09</v>
      </c>
      <c r="P33" s="115">
        <f t="shared" si="4"/>
        <v>0</v>
      </c>
      <c r="Q33" s="115">
        <f t="shared" si="4"/>
        <v>81760.240000000005</v>
      </c>
      <c r="R33" s="115">
        <f t="shared" si="4"/>
        <v>0</v>
      </c>
      <c r="S33" s="115">
        <f t="shared" si="4"/>
        <v>68067.33</v>
      </c>
      <c r="T33" s="115">
        <f t="shared" si="4"/>
        <v>0</v>
      </c>
      <c r="U33" s="115">
        <f t="shared" si="4"/>
        <v>61711.68</v>
      </c>
      <c r="V33" s="115">
        <f t="shared" si="4"/>
        <v>0</v>
      </c>
      <c r="W33" s="115">
        <f t="shared" si="4"/>
        <v>0</v>
      </c>
      <c r="X33" s="115">
        <f t="shared" si="4"/>
        <v>0</v>
      </c>
      <c r="Y33" s="115">
        <f t="shared" si="4"/>
        <v>217.78</v>
      </c>
      <c r="Z33" s="115">
        <f t="shared" si="4"/>
        <v>0</v>
      </c>
      <c r="AA33" s="128">
        <f t="shared" si="4"/>
        <v>187710.37</v>
      </c>
      <c r="AB33" s="128">
        <f t="shared" si="4"/>
        <v>0</v>
      </c>
      <c r="AC33" s="128">
        <f t="shared" si="4"/>
        <v>333233.98</v>
      </c>
      <c r="AD33" s="128">
        <f t="shared" si="4"/>
        <v>0</v>
      </c>
      <c r="AE33" s="126">
        <f t="shared" ref="AE33:AL33" si="5">AE35+AE36+AE37+AE38+AE39</f>
        <v>667959.52</v>
      </c>
      <c r="AF33" s="126">
        <f t="shared" si="5"/>
        <v>0</v>
      </c>
      <c r="AG33" s="126">
        <f t="shared" si="5"/>
        <v>94034.71</v>
      </c>
      <c r="AH33" s="126">
        <f t="shared" si="5"/>
        <v>0</v>
      </c>
      <c r="AI33" s="122">
        <f t="shared" si="5"/>
        <v>797761.55</v>
      </c>
      <c r="AJ33" s="122">
        <f t="shared" si="5"/>
        <v>0</v>
      </c>
      <c r="AK33" s="122">
        <v>0</v>
      </c>
      <c r="AL33" s="122">
        <f t="shared" si="5"/>
        <v>0</v>
      </c>
      <c r="AM33" s="122">
        <f>AM35+AM36+AM37+AM38+AM39</f>
        <v>754556.52</v>
      </c>
      <c r="AN33" s="122">
        <f>AN35+AN36+AN37+AN38+AN39</f>
        <v>0</v>
      </c>
      <c r="AO33" s="122">
        <f>AO35+AO36+AO37+AO38+AO39</f>
        <v>0</v>
      </c>
      <c r="AP33" s="122">
        <f>AP35+AP36+AP37+AP38+AP39</f>
        <v>0</v>
      </c>
      <c r="AQ33" s="116">
        <f>AM33/AI33-1</f>
        <v>-5.4157824477752858E-2</v>
      </c>
      <c r="AR33" s="116" t="e">
        <f>AO33/AK33-1</f>
        <v>#DIV/0!</v>
      </c>
    </row>
    <row r="34" spans="1:47" x14ac:dyDescent="0.25">
      <c r="A34" s="113"/>
      <c r="B34" s="114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5"/>
      <c r="AB34" s="125"/>
      <c r="AC34" s="125"/>
      <c r="AD34" s="125"/>
      <c r="AE34" s="127"/>
      <c r="AF34" s="127"/>
      <c r="AG34" s="127"/>
      <c r="AH34" s="127"/>
      <c r="AI34" s="123"/>
      <c r="AJ34" s="123"/>
      <c r="AK34" s="123"/>
      <c r="AL34" s="123"/>
      <c r="AM34" s="123"/>
      <c r="AN34" s="123"/>
      <c r="AO34" s="123"/>
      <c r="AP34" s="123"/>
      <c r="AQ34" s="117"/>
      <c r="AR34" s="117"/>
    </row>
    <row r="35" spans="1:47" ht="45.75" customHeight="1" x14ac:dyDescent="0.25">
      <c r="A35" s="109" t="s">
        <v>11</v>
      </c>
      <c r="B35" s="110"/>
      <c r="C35" s="2"/>
      <c r="D35" s="2"/>
      <c r="E35" s="2">
        <v>35747.5</v>
      </c>
      <c r="F35" s="2"/>
      <c r="G35" s="2"/>
      <c r="H35" s="2"/>
      <c r="I35" s="2"/>
      <c r="J35" s="2"/>
      <c r="K35" s="2">
        <v>120756.41</v>
      </c>
      <c r="L35" s="2"/>
      <c r="M35" s="2">
        <v>144077.24</v>
      </c>
      <c r="N35" s="2"/>
      <c r="O35" s="2">
        <v>122267.09</v>
      </c>
      <c r="P35" s="2"/>
      <c r="Q35" s="2">
        <v>67770.240000000005</v>
      </c>
      <c r="R35" s="2"/>
      <c r="S35" s="2">
        <f>65281.19+2786.14</f>
        <v>68067.33</v>
      </c>
      <c r="T35" s="2"/>
      <c r="U35" s="2">
        <v>61711.68</v>
      </c>
      <c r="V35" s="2"/>
      <c r="W35" s="2"/>
      <c r="X35" s="2"/>
      <c r="Y35" s="2">
        <v>217.78</v>
      </c>
      <c r="Z35" s="2"/>
      <c r="AA35" s="16">
        <v>35</v>
      </c>
      <c r="AB35" s="16"/>
      <c r="AC35" s="16">
        <f>27611.35+117602.07</f>
        <v>145213.42000000001</v>
      </c>
      <c r="AD35" s="13"/>
      <c r="AE35" s="23">
        <f>56332.86+251324.18</f>
        <v>307657.03999999998</v>
      </c>
      <c r="AF35" s="13"/>
      <c r="AG35" s="23">
        <f>3600+90434.71</f>
        <v>94034.71</v>
      </c>
      <c r="AH35" s="23"/>
      <c r="AI35" s="16">
        <f>30567.15+190377.23</f>
        <v>220944.38</v>
      </c>
      <c r="AJ35" s="16"/>
      <c r="AK35" s="16"/>
      <c r="AL35" s="16"/>
      <c r="AM35" s="16">
        <f>52207.32+299307.27</f>
        <v>351514.59</v>
      </c>
      <c r="AN35" s="16"/>
      <c r="AO35" s="16"/>
      <c r="AP35" s="16"/>
      <c r="AQ35" s="24"/>
      <c r="AR35" s="24"/>
    </row>
    <row r="36" spans="1:47" ht="15.75" customHeight="1" x14ac:dyDescent="0.25">
      <c r="A36" s="109" t="s">
        <v>8</v>
      </c>
      <c r="B36" s="1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>
        <v>172262.37</v>
      </c>
      <c r="AB36" s="16"/>
      <c r="AC36" s="16">
        <v>188020.56</v>
      </c>
      <c r="AD36" s="13"/>
      <c r="AE36" s="23">
        <v>225161</v>
      </c>
      <c r="AF36" s="13"/>
      <c r="AG36" s="13"/>
      <c r="AH36" s="13"/>
      <c r="AI36" s="16">
        <v>372715</v>
      </c>
      <c r="AJ36" s="16"/>
      <c r="AK36" s="16"/>
      <c r="AL36" s="16"/>
      <c r="AM36" s="16">
        <v>272488.75</v>
      </c>
      <c r="AN36" s="16"/>
      <c r="AO36" s="16"/>
      <c r="AP36" s="16"/>
      <c r="AQ36" s="24"/>
      <c r="AR36" s="24"/>
    </row>
    <row r="37" spans="1:47" ht="46.5" customHeight="1" x14ac:dyDescent="0.25">
      <c r="A37" s="109" t="s">
        <v>9</v>
      </c>
      <c r="B37" s="1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3"/>
      <c r="AD37" s="13"/>
      <c r="AE37" s="23"/>
      <c r="AF37" s="13"/>
      <c r="AG37" s="13"/>
      <c r="AH37" s="13"/>
      <c r="AI37" s="16"/>
      <c r="AJ37" s="16"/>
      <c r="AK37" s="16"/>
      <c r="AL37" s="16"/>
      <c r="AM37" s="16">
        <v>130553.18</v>
      </c>
      <c r="AN37" s="16"/>
      <c r="AO37" s="16"/>
      <c r="AP37" s="16"/>
      <c r="AQ37" s="24"/>
      <c r="AR37" s="24"/>
    </row>
    <row r="38" spans="1:47" ht="18" customHeight="1" x14ac:dyDescent="0.25">
      <c r="A38" s="109" t="s">
        <v>10</v>
      </c>
      <c r="B38" s="1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13990</v>
      </c>
      <c r="R38" s="2"/>
      <c r="S38" s="2"/>
      <c r="T38" s="2"/>
      <c r="U38" s="2"/>
      <c r="V38" s="2"/>
      <c r="W38" s="2"/>
      <c r="X38" s="2"/>
      <c r="Y38" s="2"/>
      <c r="Z38" s="2"/>
      <c r="AA38" s="16">
        <v>15413</v>
      </c>
      <c r="AB38" s="16"/>
      <c r="AC38" s="13"/>
      <c r="AD38" s="13"/>
      <c r="AE38" s="23">
        <v>135141.48000000001</v>
      </c>
      <c r="AF38" s="13"/>
      <c r="AG38" s="13"/>
      <c r="AH38" s="13"/>
      <c r="AI38" s="16">
        <v>204102.17</v>
      </c>
      <c r="AJ38" s="16"/>
      <c r="AK38" s="16"/>
      <c r="AL38" s="16"/>
      <c r="AM38" s="13"/>
      <c r="AN38" s="13"/>
      <c r="AO38" s="13"/>
      <c r="AP38" s="13"/>
      <c r="AQ38" s="31"/>
      <c r="AR38" s="31"/>
    </row>
    <row r="39" spans="1:47" ht="30.75" customHeight="1" x14ac:dyDescent="0.25">
      <c r="A39" s="109" t="s">
        <v>16</v>
      </c>
      <c r="B39" s="1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3"/>
      <c r="AD39" s="13"/>
      <c r="AE39" s="13"/>
      <c r="AF39" s="13"/>
      <c r="AG39" s="13"/>
      <c r="AH39" s="13"/>
      <c r="AI39" s="16"/>
      <c r="AJ39" s="16"/>
      <c r="AK39" s="16"/>
      <c r="AL39" s="16"/>
      <c r="AM39" s="13"/>
      <c r="AN39" s="13"/>
      <c r="AO39" s="13"/>
      <c r="AP39" s="13"/>
      <c r="AQ39" s="31"/>
      <c r="AR39" s="31"/>
    </row>
    <row r="40" spans="1:47" x14ac:dyDescent="0.25">
      <c r="A40" s="111" t="s">
        <v>2</v>
      </c>
      <c r="B40" s="112"/>
      <c r="C40" s="115">
        <v>54846675.530000001</v>
      </c>
      <c r="D40" s="115">
        <v>48940486.590000004</v>
      </c>
      <c r="E40" s="115">
        <f>SUM(E42:E46)</f>
        <v>64656891.350000001</v>
      </c>
      <c r="F40" s="115">
        <f>SUM(F42:F46)</f>
        <v>51440732.669999994</v>
      </c>
      <c r="G40" s="115">
        <f t="shared" ref="G40:AD40" si="6">SUM(G42:G46)</f>
        <v>69207433.140000001</v>
      </c>
      <c r="H40" s="115">
        <f t="shared" si="6"/>
        <v>50454846.649999999</v>
      </c>
      <c r="I40" s="115">
        <f t="shared" si="6"/>
        <v>70742852.230000004</v>
      </c>
      <c r="J40" s="115">
        <f t="shared" si="6"/>
        <v>55024116.890000001</v>
      </c>
      <c r="K40" s="115">
        <f t="shared" si="6"/>
        <v>70605066.099999994</v>
      </c>
      <c r="L40" s="115">
        <f t="shared" si="6"/>
        <v>57943952.730000004</v>
      </c>
      <c r="M40" s="115">
        <f t="shared" si="6"/>
        <v>73371785.549999997</v>
      </c>
      <c r="N40" s="115">
        <f t="shared" si="6"/>
        <v>57519633.82</v>
      </c>
      <c r="O40" s="115">
        <f t="shared" si="6"/>
        <v>69857012.25</v>
      </c>
      <c r="P40" s="115">
        <f t="shared" si="6"/>
        <v>65548817.789999999</v>
      </c>
      <c r="Q40" s="115">
        <f t="shared" si="6"/>
        <v>71509757.569999993</v>
      </c>
      <c r="R40" s="115">
        <f t="shared" si="6"/>
        <v>57862859.439999998</v>
      </c>
      <c r="S40" s="115">
        <f t="shared" si="6"/>
        <v>71486946.959999993</v>
      </c>
      <c r="T40" s="115">
        <f t="shared" si="6"/>
        <v>57789918.439999998</v>
      </c>
      <c r="U40" s="115">
        <f t="shared" si="6"/>
        <v>70592079.479999989</v>
      </c>
      <c r="V40" s="115">
        <f t="shared" si="6"/>
        <v>61579945.239999995</v>
      </c>
      <c r="W40" s="115">
        <f t="shared" si="6"/>
        <v>66866461.460000001</v>
      </c>
      <c r="X40" s="115">
        <f t="shared" si="6"/>
        <v>57735277.960000001</v>
      </c>
      <c r="Y40" s="115">
        <f t="shared" si="6"/>
        <v>103038065.23999999</v>
      </c>
      <c r="Z40" s="115">
        <f t="shared" si="6"/>
        <v>90836160.789999992</v>
      </c>
      <c r="AA40" s="128">
        <f t="shared" si="6"/>
        <v>56387437.119999997</v>
      </c>
      <c r="AB40" s="128">
        <f t="shared" si="6"/>
        <v>15533763.189999999</v>
      </c>
      <c r="AC40" s="128">
        <f t="shared" si="6"/>
        <v>119943838.53</v>
      </c>
      <c r="AD40" s="128">
        <f t="shared" si="6"/>
        <v>72448338.349999994</v>
      </c>
      <c r="AE40" s="126">
        <f t="shared" ref="AE40:AL40" si="7">AE42+AE43+AE44+AE45+AE46</f>
        <v>98597337.969999999</v>
      </c>
      <c r="AF40" s="126">
        <f t="shared" si="7"/>
        <v>28249113.57</v>
      </c>
      <c r="AG40" s="126">
        <f t="shared" si="7"/>
        <v>52538002.529999994</v>
      </c>
      <c r="AH40" s="126">
        <f t="shared" si="7"/>
        <v>0</v>
      </c>
      <c r="AI40" s="122">
        <f t="shared" si="7"/>
        <v>63217359.389999993</v>
      </c>
      <c r="AJ40" s="122">
        <f t="shared" si="7"/>
        <v>27862807.449999999</v>
      </c>
      <c r="AK40" s="122">
        <f t="shared" si="7"/>
        <v>9411597.2899999991</v>
      </c>
      <c r="AL40" s="122">
        <f t="shared" si="7"/>
        <v>0</v>
      </c>
      <c r="AM40" s="126">
        <f>AM42+AM43+AM44+AM45+AM46</f>
        <v>50664072.619999997</v>
      </c>
      <c r="AN40" s="126">
        <f>AN42+AN43+AN44+AN45+AN46</f>
        <v>27418751.780000001</v>
      </c>
      <c r="AO40" s="126">
        <f>AO42+AO43+AO44+AO45+AO46</f>
        <v>431884</v>
      </c>
      <c r="AP40" s="126">
        <f>AP42+AP43+AP44+AP45+AP46</f>
        <v>0</v>
      </c>
      <c r="AQ40" s="134">
        <f>AM40/AI40-1</f>
        <v>-0.19857341228943726</v>
      </c>
      <c r="AR40" s="134">
        <f>AO40/AK40-1</f>
        <v>-0.95411150873838546</v>
      </c>
    </row>
    <row r="41" spans="1:47" ht="12" customHeight="1" x14ac:dyDescent="0.25">
      <c r="A41" s="113"/>
      <c r="B41" s="114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25"/>
      <c r="AB41" s="125"/>
      <c r="AC41" s="125"/>
      <c r="AD41" s="125"/>
      <c r="AE41" s="127"/>
      <c r="AF41" s="127"/>
      <c r="AG41" s="127"/>
      <c r="AH41" s="127"/>
      <c r="AI41" s="123"/>
      <c r="AJ41" s="123"/>
      <c r="AK41" s="123"/>
      <c r="AL41" s="123"/>
      <c r="AM41" s="127"/>
      <c r="AN41" s="127"/>
      <c r="AO41" s="127"/>
      <c r="AP41" s="127"/>
      <c r="AQ41" s="135"/>
      <c r="AR41" s="135"/>
    </row>
    <row r="42" spans="1:47" ht="43.5" customHeight="1" x14ac:dyDescent="0.25">
      <c r="A42" s="109" t="s">
        <v>11</v>
      </c>
      <c r="B42" s="110"/>
      <c r="C42" s="2"/>
      <c r="D42" s="2"/>
      <c r="E42" s="2">
        <v>10110055.9</v>
      </c>
      <c r="F42" s="2">
        <f>51442088.62-49312861.59</f>
        <v>2129227.0299999937</v>
      </c>
      <c r="G42" s="2">
        <v>10146692.35</v>
      </c>
      <c r="H42" s="2">
        <v>2129227.0299999998</v>
      </c>
      <c r="I42" s="2">
        <v>14616479.76</v>
      </c>
      <c r="J42" s="2">
        <v>2129227.0299999998</v>
      </c>
      <c r="K42" s="2">
        <v>7843217.96</v>
      </c>
      <c r="L42" s="2">
        <v>2129227.0299999998</v>
      </c>
      <c r="M42" s="2">
        <v>7533070</v>
      </c>
      <c r="N42" s="2">
        <v>2129227.0299999998</v>
      </c>
      <c r="O42" s="2">
        <v>6652443.1100000003</v>
      </c>
      <c r="P42" s="2">
        <v>2344248.65</v>
      </c>
      <c r="Q42" s="2">
        <f>8677372.77+42645.25</f>
        <v>8720018.0199999996</v>
      </c>
      <c r="R42" s="2">
        <f>2344248.65</f>
        <v>2344248.65</v>
      </c>
      <c r="S42" s="2">
        <f>69747.65+9218096.72</f>
        <v>9287844.370000001</v>
      </c>
      <c r="T42" s="2">
        <v>2271307.65</v>
      </c>
      <c r="U42" s="2">
        <f>94170.06+10964271.83</f>
        <v>11058441.890000001</v>
      </c>
      <c r="V42" s="2">
        <f>2046307.65</f>
        <v>2046307.65</v>
      </c>
      <c r="W42" s="2">
        <f>11194823.81+98358.34</f>
        <v>11293182.15</v>
      </c>
      <c r="X42" s="2">
        <f>2161998.65</f>
        <v>2161998.65</v>
      </c>
      <c r="Y42" s="2">
        <v>13594212.15</v>
      </c>
      <c r="Z42" s="2">
        <v>4751435.4800000004</v>
      </c>
      <c r="AA42" s="16">
        <f>77325.12+12375433.35</f>
        <v>12452758.469999999</v>
      </c>
      <c r="AB42" s="16">
        <v>1634678.03</v>
      </c>
      <c r="AC42" s="16">
        <f>263374.33+25371454.14</f>
        <v>25634828.469999999</v>
      </c>
      <c r="AD42" s="16">
        <v>7111498.0199999996</v>
      </c>
      <c r="AE42" s="23">
        <f>361338.29+22200823.79</f>
        <v>22562162.079999998</v>
      </c>
      <c r="AF42" s="23">
        <v>1203080.3799999999</v>
      </c>
      <c r="AG42" s="23">
        <f>223320.42+7979287.52</f>
        <v>8202607.9399999995</v>
      </c>
      <c r="AH42" s="13"/>
      <c r="AI42" s="16">
        <f>58898.5+5757823.28+84105.04+8232493.31</f>
        <v>14133320.129999999</v>
      </c>
      <c r="AJ42" s="16">
        <f>58898.5+84105.04</f>
        <v>143003.53999999998</v>
      </c>
      <c r="AK42" s="16">
        <v>1077110.1399999999</v>
      </c>
      <c r="AL42" s="16"/>
      <c r="AM42" s="23">
        <f>5310911.67+7332356.49</f>
        <v>12643268.16</v>
      </c>
      <c r="AN42" s="23">
        <f>212073.4+339232.48</f>
        <v>551305.88</v>
      </c>
      <c r="AO42" s="23"/>
      <c r="AP42" s="23"/>
      <c r="AQ42" s="17"/>
      <c r="AR42" s="17"/>
      <c r="AU42" s="30"/>
    </row>
    <row r="43" spans="1:47" ht="18" customHeight="1" x14ac:dyDescent="0.25">
      <c r="A43" s="109" t="s">
        <v>8</v>
      </c>
      <c r="B43" s="1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6">
        <f>774524.11+20097533.72</f>
        <v>20872057.829999998</v>
      </c>
      <c r="AB43" s="16"/>
      <c r="AC43" s="16">
        <f>815882.11+24539657.77</f>
        <v>25355539.879999999</v>
      </c>
      <c r="AD43" s="16"/>
      <c r="AE43" s="23">
        <f>826423.25+23317982.32</f>
        <v>24144405.57</v>
      </c>
      <c r="AF43" s="23">
        <v>16922780.550000001</v>
      </c>
      <c r="AG43" s="23"/>
      <c r="AH43" s="13"/>
      <c r="AI43" s="16">
        <f>6636427.13+2761581.99+10175763.76+5190667.21</f>
        <v>24764440.090000004</v>
      </c>
      <c r="AJ43" s="16">
        <f>6636427.13+10175763.76</f>
        <v>16812190.890000001</v>
      </c>
      <c r="AK43" s="16"/>
      <c r="AL43" s="16"/>
      <c r="AM43" s="23">
        <f>8584743.98+16239695.63</f>
        <v>24824439.609999999</v>
      </c>
      <c r="AN43" s="23">
        <f>6905797.99+11658081.72</f>
        <v>18563879.710000001</v>
      </c>
      <c r="AO43" s="23"/>
      <c r="AP43" s="23"/>
      <c r="AQ43" s="17"/>
      <c r="AR43" s="17"/>
    </row>
    <row r="44" spans="1:47" ht="44.25" customHeight="1" x14ac:dyDescent="0.25">
      <c r="A44" s="109" t="s">
        <v>9</v>
      </c>
      <c r="B44" s="110"/>
      <c r="C44" s="2"/>
      <c r="D44" s="2"/>
      <c r="E44" s="2">
        <v>4317281.3899999997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3356790.95</v>
      </c>
      <c r="Z44" s="2"/>
      <c r="AA44" s="16">
        <f>511757.59+6814505.62</f>
        <v>7326263.21</v>
      </c>
      <c r="AB44" s="16"/>
      <c r="AC44" s="16">
        <f>484038.54+11956133.92</f>
        <v>12440172.459999999</v>
      </c>
      <c r="AD44" s="16">
        <v>10626588</v>
      </c>
      <c r="AE44" s="23">
        <f>871920.5+16450579.56</f>
        <v>17322500.060000002</v>
      </c>
      <c r="AF44" s="23">
        <v>10123252.640000001</v>
      </c>
      <c r="AG44" s="23">
        <f>353493.68+11501508.54</f>
        <v>11855002.219999999</v>
      </c>
      <c r="AH44" s="13"/>
      <c r="AI44" s="16">
        <f>4846101.83+2549979.72+3834472.6+2522828.53</f>
        <v>13753382.68</v>
      </c>
      <c r="AJ44" s="16">
        <f>4846101.83+3834472.6</f>
        <v>8680574.4299999997</v>
      </c>
      <c r="AK44" s="16"/>
      <c r="AL44" s="16"/>
      <c r="AM44" s="23">
        <f>5321685.41+6102029.31</f>
        <v>11423714.719999999</v>
      </c>
      <c r="AN44" s="23">
        <f>3335928.28+3640326.77</f>
        <v>6976255.0499999998</v>
      </c>
      <c r="AO44" s="23"/>
      <c r="AP44" s="23"/>
      <c r="AQ44" s="17"/>
      <c r="AR44" s="17"/>
    </row>
    <row r="45" spans="1:47" ht="16.899999999999999" customHeight="1" x14ac:dyDescent="0.25">
      <c r="A45" s="109" t="s">
        <v>10</v>
      </c>
      <c r="B45" s="110"/>
      <c r="C45" s="2"/>
      <c r="D45" s="2"/>
      <c r="E45" s="2">
        <v>50229554.060000002</v>
      </c>
      <c r="F45" s="2">
        <v>49311505.640000001</v>
      </c>
      <c r="G45" s="2">
        <f>54914409.14+4146331.65</f>
        <v>59060740.789999999</v>
      </c>
      <c r="H45" s="2">
        <f>4092516+44233103.62</f>
        <v>48325619.619999997</v>
      </c>
      <c r="I45" s="2">
        <f>4125519+52000853.47</f>
        <v>56126372.469999999</v>
      </c>
      <c r="J45" s="2">
        <f>4092516+48802373.86</f>
        <v>52894889.859999999</v>
      </c>
      <c r="K45" s="2">
        <f>4106722+58655126.14</f>
        <v>62761848.140000001</v>
      </c>
      <c r="L45" s="2">
        <f>4092516+51722209.7</f>
        <v>55814725.700000003</v>
      </c>
      <c r="M45" s="2">
        <f>3726327.65+62112387.9</f>
        <v>65838715.549999997</v>
      </c>
      <c r="N45" s="2">
        <f>51679075.14+3711331.65</f>
        <v>55390406.789999999</v>
      </c>
      <c r="O45" s="2">
        <f>3292052+59912517.14</f>
        <v>63204569.140000001</v>
      </c>
      <c r="P45" s="2">
        <f>3292052+59912517.14</f>
        <v>63204569.140000001</v>
      </c>
      <c r="Q45" s="2">
        <f>59493077.9+3296661.65</f>
        <v>62789739.549999997</v>
      </c>
      <c r="R45" s="2">
        <f>3296661.65+52221949.14</f>
        <v>55518610.789999999</v>
      </c>
      <c r="S45" s="2">
        <f>58887656.94+3311445.65</f>
        <v>62199102.589999996</v>
      </c>
      <c r="T45" s="2">
        <f>3296661.65+52221949.14</f>
        <v>55518610.789999999</v>
      </c>
      <c r="U45" s="2">
        <f>56222191.94+3311445.65</f>
        <v>59533637.589999996</v>
      </c>
      <c r="V45" s="2">
        <f>3311445.65+56222191.94</f>
        <v>59533637.589999996</v>
      </c>
      <c r="W45" s="2">
        <f>1281078.35+54292200.96</f>
        <v>55573279.310000002</v>
      </c>
      <c r="X45" s="2">
        <f>54292200.96+1281078.35</f>
        <v>55573279.310000002</v>
      </c>
      <c r="Y45" s="2">
        <v>55305512.479999997</v>
      </c>
      <c r="Z45" s="2">
        <v>55305512.479999997</v>
      </c>
      <c r="AA45" s="16">
        <v>12430432.640000001</v>
      </c>
      <c r="AB45" s="16">
        <v>12430432.640000001</v>
      </c>
      <c r="AC45" s="16">
        <v>19001954.52</v>
      </c>
      <c r="AD45" s="16">
        <v>19001954.52</v>
      </c>
      <c r="AE45" s="23">
        <f>8958+7347927.08</f>
        <v>7356885.0800000001</v>
      </c>
      <c r="AF45" s="13"/>
      <c r="AG45" s="23">
        <f>8958+6907494.08</f>
        <v>6916452.0800000001</v>
      </c>
      <c r="AH45" s="13"/>
      <c r="AI45" s="16">
        <f>2101880.84+3050643.64</f>
        <v>5152524.4800000004</v>
      </c>
      <c r="AJ45" s="16"/>
      <c r="AK45" s="16">
        <f>2101856.09+3050642.64</f>
        <v>5152498.7300000004</v>
      </c>
      <c r="AL45" s="16"/>
      <c r="AM45" s="23">
        <f>197520+234364</f>
        <v>431884</v>
      </c>
      <c r="AN45" s="23"/>
      <c r="AO45" s="23">
        <f>197520+234364</f>
        <v>431884</v>
      </c>
      <c r="AP45" s="23"/>
      <c r="AQ45" s="17" t="s">
        <v>42</v>
      </c>
      <c r="AR45" s="17"/>
    </row>
    <row r="46" spans="1:47" ht="31.5" customHeight="1" x14ac:dyDescent="0.25">
      <c r="A46" s="109" t="s">
        <v>16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30781549.66</v>
      </c>
      <c r="Z46" s="2">
        <v>30779212.829999998</v>
      </c>
      <c r="AA46" s="16">
        <f>3305399.51+525.46</f>
        <v>3305924.9699999997</v>
      </c>
      <c r="AB46" s="16">
        <v>1468652.52</v>
      </c>
      <c r="AC46" s="16">
        <f>37418429.35+92913.85</f>
        <v>37511343.200000003</v>
      </c>
      <c r="AD46" s="16">
        <v>35708297.810000002</v>
      </c>
      <c r="AE46" s="23">
        <f>27144292.69+67092.49</f>
        <v>27211385.18</v>
      </c>
      <c r="AF46" s="13"/>
      <c r="AG46" s="23">
        <v>25563940.289999999</v>
      </c>
      <c r="AH46" s="13"/>
      <c r="AI46" s="16">
        <f>5363159.41+45867.6+4665</f>
        <v>5413692.0099999998</v>
      </c>
      <c r="AJ46" s="16">
        <f>45867.6+2181170.99</f>
        <v>2227038.5900000003</v>
      </c>
      <c r="AK46" s="16">
        <v>3181988.42</v>
      </c>
      <c r="AL46" s="16"/>
      <c r="AM46" s="23">
        <v>1340766.1299999999</v>
      </c>
      <c r="AN46" s="23">
        <v>1327311.1399999999</v>
      </c>
      <c r="AO46" s="23"/>
      <c r="AP46" s="23"/>
      <c r="AQ46" s="17"/>
      <c r="AR46" s="17"/>
    </row>
    <row r="47" spans="1:47" x14ac:dyDescent="0.25">
      <c r="A47" s="111" t="s">
        <v>3</v>
      </c>
      <c r="B47" s="112"/>
      <c r="C47" s="115">
        <v>-7680.14</v>
      </c>
      <c r="D47" s="115">
        <f>SUM(D49:D53)</f>
        <v>0</v>
      </c>
      <c r="E47" s="115">
        <f t="shared" ref="E47:AD47" si="8">SUM(E49:E53)</f>
        <v>0</v>
      </c>
      <c r="F47" s="115">
        <f t="shared" si="8"/>
        <v>0</v>
      </c>
      <c r="G47" s="115">
        <f t="shared" si="8"/>
        <v>114426.95</v>
      </c>
      <c r="H47" s="115">
        <f t="shared" si="8"/>
        <v>0</v>
      </c>
      <c r="I47" s="115">
        <f t="shared" si="8"/>
        <v>88290.77</v>
      </c>
      <c r="J47" s="115">
        <f t="shared" si="8"/>
        <v>0</v>
      </c>
      <c r="K47" s="115">
        <f t="shared" si="8"/>
        <v>51440.42</v>
      </c>
      <c r="L47" s="115">
        <f t="shared" si="8"/>
        <v>0</v>
      </c>
      <c r="M47" s="115">
        <f t="shared" si="8"/>
        <v>169857.58</v>
      </c>
      <c r="N47" s="115">
        <f t="shared" si="8"/>
        <v>0</v>
      </c>
      <c r="O47" s="115">
        <f t="shared" si="8"/>
        <v>77731.77</v>
      </c>
      <c r="P47" s="115">
        <f t="shared" si="8"/>
        <v>0</v>
      </c>
      <c r="Q47" s="115">
        <f t="shared" si="8"/>
        <v>55035.07</v>
      </c>
      <c r="R47" s="115">
        <f t="shared" si="8"/>
        <v>0</v>
      </c>
      <c r="S47" s="115">
        <f t="shared" si="8"/>
        <v>80513.679999999993</v>
      </c>
      <c r="T47" s="115">
        <f t="shared" si="8"/>
        <v>0</v>
      </c>
      <c r="U47" s="115">
        <f t="shared" si="8"/>
        <v>77945.259999999995</v>
      </c>
      <c r="V47" s="115">
        <f t="shared" si="8"/>
        <v>0</v>
      </c>
      <c r="W47" s="115">
        <f t="shared" si="8"/>
        <v>84064.9</v>
      </c>
      <c r="X47" s="115">
        <f t="shared" si="8"/>
        <v>0</v>
      </c>
      <c r="Y47" s="115">
        <f t="shared" si="8"/>
        <v>0</v>
      </c>
      <c r="Z47" s="115">
        <f t="shared" si="8"/>
        <v>0</v>
      </c>
      <c r="AA47" s="128">
        <f t="shared" si="8"/>
        <v>663721.94999999995</v>
      </c>
      <c r="AB47" s="128">
        <f t="shared" si="8"/>
        <v>0</v>
      </c>
      <c r="AC47" s="128">
        <f t="shared" si="8"/>
        <v>856387.40999999992</v>
      </c>
      <c r="AD47" s="128">
        <f t="shared" si="8"/>
        <v>0</v>
      </c>
      <c r="AE47" s="126">
        <f t="shared" ref="AE47:AL47" si="9">AE49+AE50+AE51+AE52+AE53</f>
        <v>807619</v>
      </c>
      <c r="AF47" s="126">
        <f t="shared" si="9"/>
        <v>0</v>
      </c>
      <c r="AG47" s="126">
        <f t="shared" si="9"/>
        <v>0</v>
      </c>
      <c r="AH47" s="126">
        <f t="shared" si="9"/>
        <v>0</v>
      </c>
      <c r="AI47" s="122">
        <f t="shared" si="9"/>
        <v>1745805.9500000002</v>
      </c>
      <c r="AJ47" s="122">
        <f t="shared" si="9"/>
        <v>0</v>
      </c>
      <c r="AK47" s="122">
        <v>0</v>
      </c>
      <c r="AL47" s="122">
        <f t="shared" si="9"/>
        <v>0</v>
      </c>
      <c r="AM47" s="122">
        <f>AM49+AM50+AM51+AM52+AM53</f>
        <v>1271735.3700000001</v>
      </c>
      <c r="AN47" s="122">
        <f>AN49+AN50+AN51+AN52+AN53</f>
        <v>0</v>
      </c>
      <c r="AO47" s="122">
        <f>AO49+AO50+AO51+AO52+AO53</f>
        <v>0</v>
      </c>
      <c r="AP47" s="122">
        <f>AP49+AP50+AP51+AP52+AP53</f>
        <v>0</v>
      </c>
      <c r="AQ47" s="116">
        <f>AM47/AI47-1</f>
        <v>-0.271548266862076</v>
      </c>
      <c r="AR47" s="116" t="e">
        <f>AO47/AK47-1</f>
        <v>#DIV/0!</v>
      </c>
    </row>
    <row r="48" spans="1:47" x14ac:dyDescent="0.25">
      <c r="A48" s="113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5"/>
      <c r="AB48" s="125"/>
      <c r="AC48" s="125"/>
      <c r="AD48" s="125"/>
      <c r="AE48" s="127"/>
      <c r="AF48" s="127"/>
      <c r="AG48" s="127"/>
      <c r="AH48" s="127"/>
      <c r="AI48" s="123"/>
      <c r="AJ48" s="123"/>
      <c r="AK48" s="123"/>
      <c r="AL48" s="123"/>
      <c r="AM48" s="123"/>
      <c r="AN48" s="123"/>
      <c r="AO48" s="123"/>
      <c r="AP48" s="123"/>
      <c r="AQ48" s="117"/>
      <c r="AR48" s="117"/>
    </row>
    <row r="49" spans="1:44" ht="44.25" customHeight="1" x14ac:dyDescent="0.25">
      <c r="A49" s="109" t="s">
        <v>11</v>
      </c>
      <c r="B49" s="110"/>
      <c r="C49" s="2">
        <v>0</v>
      </c>
      <c r="D49" s="2"/>
      <c r="E49" s="2">
        <v>0</v>
      </c>
      <c r="F49" s="2"/>
      <c r="G49" s="2">
        <v>114426.95</v>
      </c>
      <c r="H49" s="2"/>
      <c r="I49" s="2">
        <v>88290.77</v>
      </c>
      <c r="J49" s="2"/>
      <c r="K49" s="2">
        <v>51440.42</v>
      </c>
      <c r="L49" s="2"/>
      <c r="M49" s="2">
        <v>169857.58</v>
      </c>
      <c r="N49" s="2"/>
      <c r="O49" s="2">
        <v>77731.77</v>
      </c>
      <c r="P49" s="2"/>
      <c r="Q49" s="2">
        <v>55035.07</v>
      </c>
      <c r="R49" s="2"/>
      <c r="S49" s="2">
        <v>80513.679999999993</v>
      </c>
      <c r="T49" s="2"/>
      <c r="U49" s="2">
        <v>77945.259999999995</v>
      </c>
      <c r="V49" s="2"/>
      <c r="W49" s="2">
        <v>84064.9</v>
      </c>
      <c r="X49" s="2"/>
      <c r="Y49" s="2"/>
      <c r="Z49" s="2"/>
      <c r="AA49" s="16">
        <v>4839.6099999999997</v>
      </c>
      <c r="AB49" s="16"/>
      <c r="AC49" s="16">
        <v>85242.16</v>
      </c>
      <c r="AD49" s="13"/>
      <c r="AE49" s="23">
        <v>172973.85</v>
      </c>
      <c r="AF49" s="23"/>
      <c r="AG49" s="23"/>
      <c r="AH49" s="23"/>
      <c r="AI49" s="16">
        <f>72200.43+5275.44</f>
        <v>77475.87</v>
      </c>
      <c r="AJ49" s="16"/>
      <c r="AK49" s="16"/>
      <c r="AL49" s="16"/>
      <c r="AM49" s="16">
        <f>245393+8818.9</f>
        <v>254211.9</v>
      </c>
      <c r="AN49" s="16"/>
      <c r="AO49" s="16"/>
      <c r="AP49" s="16"/>
      <c r="AQ49" s="24"/>
      <c r="AR49" s="24"/>
    </row>
    <row r="50" spans="1:44" x14ac:dyDescent="0.25">
      <c r="A50" s="109" t="s">
        <v>8</v>
      </c>
      <c r="B50" s="1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6">
        <v>446550.73</v>
      </c>
      <c r="AB50" s="16"/>
      <c r="AC50" s="16">
        <v>451706.16</v>
      </c>
      <c r="AD50" s="13"/>
      <c r="AE50" s="23">
        <v>291019.77</v>
      </c>
      <c r="AF50" s="23"/>
      <c r="AG50" s="23"/>
      <c r="AH50" s="23"/>
      <c r="AI50" s="16">
        <f>696234.36+399212.22</f>
        <v>1095446.58</v>
      </c>
      <c r="AJ50" s="16"/>
      <c r="AK50" s="16"/>
      <c r="AL50" s="16"/>
      <c r="AM50" s="16">
        <f>404264.47+257320.02</f>
        <v>661584.49</v>
      </c>
      <c r="AN50" s="16"/>
      <c r="AO50" s="16"/>
      <c r="AP50" s="16"/>
      <c r="AQ50" s="24"/>
      <c r="AR50" s="24"/>
    </row>
    <row r="51" spans="1:44" ht="45.75" customHeight="1" x14ac:dyDescent="0.25">
      <c r="A51" s="109" t="s">
        <v>9</v>
      </c>
      <c r="B51" s="110"/>
      <c r="C51" s="2">
        <v>0</v>
      </c>
      <c r="D51" s="2"/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6"/>
      <c r="AB51" s="23"/>
      <c r="AC51" s="16">
        <v>319439.09000000003</v>
      </c>
      <c r="AD51" s="13"/>
      <c r="AE51" s="23">
        <v>343625.38</v>
      </c>
      <c r="AF51" s="23"/>
      <c r="AG51" s="23"/>
      <c r="AH51" s="23"/>
      <c r="AI51" s="16">
        <f>340695.57+232187.93</f>
        <v>572883.5</v>
      </c>
      <c r="AJ51" s="16"/>
      <c r="AK51" s="16"/>
      <c r="AL51" s="16"/>
      <c r="AM51" s="16">
        <f>203798.12+124010.86</f>
        <v>327808.98</v>
      </c>
      <c r="AN51" s="16"/>
      <c r="AO51" s="16"/>
      <c r="AP51" s="16"/>
      <c r="AQ51" s="24"/>
      <c r="AR51" s="24"/>
    </row>
    <row r="52" spans="1:44" x14ac:dyDescent="0.25">
      <c r="A52" s="109" t="s">
        <v>10</v>
      </c>
      <c r="B52" s="1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6">
        <v>212331.61</v>
      </c>
      <c r="AB52" s="16"/>
      <c r="AC52" s="16"/>
      <c r="AD52" s="13"/>
      <c r="AE52" s="23"/>
      <c r="AF52" s="23"/>
      <c r="AG52" s="23"/>
      <c r="AH52" s="23"/>
      <c r="AI52" s="16"/>
      <c r="AJ52" s="16"/>
      <c r="AK52" s="16"/>
      <c r="AL52" s="16"/>
      <c r="AM52" s="16"/>
      <c r="AN52" s="16"/>
      <c r="AO52" s="16"/>
      <c r="AP52" s="16"/>
      <c r="AQ52" s="24"/>
      <c r="AR52" s="24"/>
    </row>
    <row r="53" spans="1:44" ht="30" customHeight="1" x14ac:dyDescent="0.25">
      <c r="A53" s="109" t="s">
        <v>16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6"/>
      <c r="AJ53" s="16"/>
      <c r="AK53" s="16"/>
      <c r="AL53" s="16"/>
      <c r="AM53" s="16">
        <v>28130</v>
      </c>
      <c r="AN53" s="16"/>
      <c r="AO53" s="16"/>
      <c r="AP53" s="16"/>
      <c r="AQ53" s="24"/>
      <c r="AR53" s="24"/>
    </row>
    <row r="54" spans="1:44" x14ac:dyDescent="0.25">
      <c r="A54" s="111" t="s">
        <v>19</v>
      </c>
      <c r="B54" s="112"/>
      <c r="C54" s="115">
        <v>24738.76</v>
      </c>
      <c r="D54" s="115">
        <f t="shared" ref="D54:Z54" si="10">SUM(D56:D60)</f>
        <v>0</v>
      </c>
      <c r="E54" s="115">
        <f t="shared" si="10"/>
        <v>162585.41</v>
      </c>
      <c r="F54" s="115">
        <f t="shared" si="10"/>
        <v>0</v>
      </c>
      <c r="G54" s="115">
        <f t="shared" si="10"/>
        <v>2836261.8599999994</v>
      </c>
      <c r="H54" s="115">
        <f t="shared" si="10"/>
        <v>179639.45</v>
      </c>
      <c r="I54" s="115">
        <f t="shared" si="10"/>
        <v>2968161.5</v>
      </c>
      <c r="J54" s="115">
        <f t="shared" si="10"/>
        <v>179639.45</v>
      </c>
      <c r="K54" s="115">
        <f t="shared" si="10"/>
        <v>3579888.6599999997</v>
      </c>
      <c r="L54" s="115">
        <f t="shared" si="10"/>
        <v>179639.45</v>
      </c>
      <c r="M54" s="115">
        <f t="shared" si="10"/>
        <v>2288254.44</v>
      </c>
      <c r="N54" s="115">
        <f t="shared" si="10"/>
        <v>179639.45</v>
      </c>
      <c r="O54" s="115">
        <f t="shared" si="10"/>
        <v>2699902.61</v>
      </c>
      <c r="P54" s="115">
        <f t="shared" si="10"/>
        <v>179639.45</v>
      </c>
      <c r="Q54" s="115">
        <f t="shared" si="10"/>
        <v>2782603.59</v>
      </c>
      <c r="R54" s="115">
        <f t="shared" si="10"/>
        <v>179639.45</v>
      </c>
      <c r="S54" s="115">
        <f t="shared" si="10"/>
        <v>2615855.7999999998</v>
      </c>
      <c r="T54" s="115">
        <f t="shared" si="10"/>
        <v>179639.45</v>
      </c>
      <c r="U54" s="115">
        <f t="shared" si="10"/>
        <v>2483055.5499999998</v>
      </c>
      <c r="V54" s="115">
        <f t="shared" si="10"/>
        <v>142806.04</v>
      </c>
      <c r="W54" s="115">
        <f t="shared" si="10"/>
        <v>2680559.16</v>
      </c>
      <c r="X54" s="115">
        <f t="shared" si="10"/>
        <v>142806.04</v>
      </c>
      <c r="Y54" s="115">
        <f t="shared" si="10"/>
        <v>79878.12999999999</v>
      </c>
      <c r="Z54" s="115">
        <f t="shared" si="10"/>
        <v>0</v>
      </c>
      <c r="AA54" s="128">
        <f>SUM(AA56:AA60)</f>
        <v>2592606.9299999997</v>
      </c>
      <c r="AB54" s="128">
        <f>SUM(AB56:AB60)</f>
        <v>0</v>
      </c>
      <c r="AC54" s="128">
        <f>SUM(AC56:AC60)</f>
        <v>4410926.9800000004</v>
      </c>
      <c r="AD54" s="128">
        <f>SUM(AD56:AD60)</f>
        <v>1508980.59</v>
      </c>
      <c r="AE54" s="126">
        <f t="shared" ref="AE54:AJ54" si="11">AE56+AE57+AE58+AE59+AE60</f>
        <v>6043790.8399999999</v>
      </c>
      <c r="AF54" s="126">
        <f t="shared" si="11"/>
        <v>5996669.2400000002</v>
      </c>
      <c r="AG54" s="126">
        <f t="shared" si="11"/>
        <v>1880593.8800000001</v>
      </c>
      <c r="AH54" s="126">
        <f t="shared" si="11"/>
        <v>1880593.88</v>
      </c>
      <c r="AI54" s="122">
        <f t="shared" si="11"/>
        <v>4401686.4800000004</v>
      </c>
      <c r="AJ54" s="122">
        <f t="shared" si="11"/>
        <v>4300435.1999999993</v>
      </c>
      <c r="AK54" s="122">
        <v>0</v>
      </c>
      <c r="AL54" s="122">
        <v>0</v>
      </c>
      <c r="AM54" s="126">
        <f>AM56+AM57+AM58+AM59+AM60</f>
        <v>5651651.2800000003</v>
      </c>
      <c r="AN54" s="126">
        <f>AN56+AN57+AN58+AN59+AN60</f>
        <v>5516615.7199999997</v>
      </c>
      <c r="AO54" s="126">
        <f>AO56+AO57+AO58+AO59+AO60</f>
        <v>0</v>
      </c>
      <c r="AP54" s="126">
        <f>AP56+AP57+AP58+AP59+AP60</f>
        <v>0</v>
      </c>
      <c r="AQ54" s="134">
        <f>AM54/AI54-1</f>
        <v>0.28397406441360173</v>
      </c>
      <c r="AR54" s="134" t="e">
        <f>AO54/AK54-1</f>
        <v>#DIV/0!</v>
      </c>
    </row>
    <row r="55" spans="1:44" x14ac:dyDescent="0.25">
      <c r="A55" s="113"/>
      <c r="B55" s="11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5"/>
      <c r="AB55" s="125"/>
      <c r="AC55" s="125"/>
      <c r="AD55" s="125"/>
      <c r="AE55" s="127"/>
      <c r="AF55" s="127"/>
      <c r="AG55" s="127"/>
      <c r="AH55" s="127"/>
      <c r="AI55" s="123"/>
      <c r="AJ55" s="123"/>
      <c r="AK55" s="123"/>
      <c r="AL55" s="123"/>
      <c r="AM55" s="127"/>
      <c r="AN55" s="127"/>
      <c r="AO55" s="127"/>
      <c r="AP55" s="127"/>
      <c r="AQ55" s="135"/>
      <c r="AR55" s="135"/>
    </row>
    <row r="56" spans="1:44" ht="45.75" customHeight="1" x14ac:dyDescent="0.25">
      <c r="A56" s="109" t="s">
        <v>11</v>
      </c>
      <c r="B56" s="110"/>
      <c r="C56" s="2"/>
      <c r="D56" s="2"/>
      <c r="E56" s="2">
        <v>162585.41</v>
      </c>
      <c r="F56" s="2"/>
      <c r="G56" s="2">
        <f>410855.69+138863.03</f>
        <v>549718.72</v>
      </c>
      <c r="H56" s="2">
        <v>179639.45</v>
      </c>
      <c r="I56" s="2">
        <f>349786.74+482870.23</f>
        <v>832656.97</v>
      </c>
      <c r="J56" s="2">
        <v>179639.45</v>
      </c>
      <c r="K56" s="2">
        <f>325550.4+256894.84</f>
        <v>582445.24</v>
      </c>
      <c r="L56" s="2">
        <v>179639.45</v>
      </c>
      <c r="M56" s="2">
        <f>32098.35+367708.31</f>
        <v>399806.66</v>
      </c>
      <c r="N56" s="2">
        <v>179639.45</v>
      </c>
      <c r="O56" s="2">
        <f>19053.66+339996.73</f>
        <v>359050.38999999996</v>
      </c>
      <c r="P56" s="2">
        <v>179639.45</v>
      </c>
      <c r="Q56" s="2">
        <f>214101.64+184501.39</f>
        <v>398603.03</v>
      </c>
      <c r="R56" s="2">
        <v>179639.45</v>
      </c>
      <c r="S56" s="2">
        <f>293392.92+82646.26</f>
        <v>376039.18</v>
      </c>
      <c r="T56" s="2">
        <v>179639.45</v>
      </c>
      <c r="U56" s="2">
        <f>18347.3+293392.92</f>
        <v>311740.21999999997</v>
      </c>
      <c r="V56" s="2">
        <f>142806.04</f>
        <v>142806.04</v>
      </c>
      <c r="W56" s="2">
        <f>175124.05+248350.04</f>
        <v>423474.08999999997</v>
      </c>
      <c r="X56" s="2">
        <v>142806.04</v>
      </c>
      <c r="Y56" s="2">
        <v>99147.76</v>
      </c>
      <c r="Z56" s="2"/>
      <c r="AA56" s="16">
        <f>23731.53+27555.65</f>
        <v>51287.18</v>
      </c>
      <c r="AB56" s="16"/>
      <c r="AC56" s="16">
        <f>36698.81+43106.43</f>
        <v>79805.239999999991</v>
      </c>
      <c r="AD56" s="16"/>
      <c r="AE56" s="23">
        <f>AF56+16412.78</f>
        <v>238760.13999999998</v>
      </c>
      <c r="AF56" s="23">
        <f>104792.76+117554.6</f>
        <v>222347.36</v>
      </c>
      <c r="AG56" s="13"/>
      <c r="AH56" s="23"/>
      <c r="AI56" s="16">
        <f>54159.74+22819.27+80774.94</f>
        <v>157753.95000000001</v>
      </c>
      <c r="AJ56" s="29">
        <f>54159.74+22819.27</f>
        <v>76979.009999999995</v>
      </c>
      <c r="AK56" s="16"/>
      <c r="AL56" s="16"/>
      <c r="AM56" s="23">
        <f>441076.44+15500+254122.77+98401.07</f>
        <v>809100.28</v>
      </c>
      <c r="AN56" s="23">
        <f>441076.44+254122.77</f>
        <v>695199.21</v>
      </c>
      <c r="AO56" s="23"/>
      <c r="AP56" s="23"/>
      <c r="AQ56" s="17"/>
      <c r="AR56" s="17"/>
    </row>
    <row r="57" spans="1:44" x14ac:dyDescent="0.25">
      <c r="A57" s="109" t="s">
        <v>8</v>
      </c>
      <c r="B57" s="110"/>
      <c r="C57" s="2"/>
      <c r="D57" s="2"/>
      <c r="E57" s="2"/>
      <c r="F57" s="2"/>
      <c r="G57" s="2">
        <f>1280106.96+331142.71</f>
        <v>1611249.67</v>
      </c>
      <c r="H57" s="2"/>
      <c r="I57" s="2">
        <f>1112706.33+292125.54</f>
        <v>1404831.87</v>
      </c>
      <c r="J57" s="2"/>
      <c r="K57" s="2">
        <f>1664826.89+424726.47</f>
        <v>2089553.3599999999</v>
      </c>
      <c r="L57" s="2"/>
      <c r="M57" s="2">
        <v>1291836.76</v>
      </c>
      <c r="N57" s="2"/>
      <c r="O57" s="2">
        <f>336869.12+1006180.12</f>
        <v>1343049.24</v>
      </c>
      <c r="P57" s="2"/>
      <c r="Q57" s="2">
        <f>290310.2+1054801</f>
        <v>1345111.2</v>
      </c>
      <c r="R57" s="2"/>
      <c r="S57" s="2">
        <f>210412.6+1031728.18</f>
        <v>1242140.78</v>
      </c>
      <c r="T57" s="2"/>
      <c r="U57" s="2">
        <f>144677.62+1051908.03</f>
        <v>1196585.6499999999</v>
      </c>
      <c r="V57" s="2"/>
      <c r="W57" s="2">
        <f>257630.31+1025805.39</f>
        <v>1283435.7</v>
      </c>
      <c r="X57" s="2"/>
      <c r="Y57" s="2"/>
      <c r="Z57" s="2"/>
      <c r="AA57" s="16">
        <f>367554.1+1092399.95</f>
        <v>1459954.0499999998</v>
      </c>
      <c r="AB57" s="16"/>
      <c r="AC57" s="16">
        <f>413160.07+976030.95</f>
        <v>1389191.02</v>
      </c>
      <c r="AD57" s="16"/>
      <c r="AE57" s="23">
        <f>AF57+20410</f>
        <v>1483828.69</v>
      </c>
      <c r="AF57" s="23">
        <f>399447.7+1063970.99</f>
        <v>1463418.69</v>
      </c>
      <c r="AG57" s="13"/>
      <c r="AH57" s="23"/>
      <c r="AI57" s="16">
        <f>399497.7+11131.38+1854102.36</f>
        <v>2264731.44</v>
      </c>
      <c r="AJ57" s="16">
        <f>399497.7+1854102.36</f>
        <v>2253600.06</v>
      </c>
      <c r="AK57" s="16"/>
      <c r="AL57" s="16"/>
      <c r="AM57" s="23">
        <f>399686.49+12484+2402286.1</f>
        <v>2814456.59</v>
      </c>
      <c r="AN57" s="23">
        <f>399686.49+2402286.1</f>
        <v>2801972.59</v>
      </c>
      <c r="AO57" s="23"/>
      <c r="AP57" s="23"/>
      <c r="AQ57" s="17"/>
      <c r="AR57" s="17"/>
    </row>
    <row r="58" spans="1:44" ht="45.75" customHeight="1" x14ac:dyDescent="0.25">
      <c r="A58" s="109" t="s">
        <v>9</v>
      </c>
      <c r="B58" s="110"/>
      <c r="C58" s="2"/>
      <c r="D58" s="2"/>
      <c r="E58" s="2"/>
      <c r="F58" s="2"/>
      <c r="G58" s="2">
        <f>191330.96+483962.51</f>
        <v>675293.47</v>
      </c>
      <c r="H58" s="2"/>
      <c r="I58" s="2">
        <f>171605.74+559066.92</f>
        <v>730672.66</v>
      </c>
      <c r="J58" s="2"/>
      <c r="K58" s="2">
        <f>209944.24+697945.82</f>
        <v>907890.05999999994</v>
      </c>
      <c r="L58" s="2"/>
      <c r="M58" s="2">
        <v>596611.02</v>
      </c>
      <c r="N58" s="2"/>
      <c r="O58" s="2">
        <f>198862.88+580042.1</f>
        <v>778904.98</v>
      </c>
      <c r="P58" s="2"/>
      <c r="Q58" s="2">
        <f>612669.18+219338.18</f>
        <v>832007.3600000001</v>
      </c>
      <c r="R58" s="2"/>
      <c r="S58" s="2">
        <f>201317.46+630998.38</f>
        <v>832315.84</v>
      </c>
      <c r="T58" s="2"/>
      <c r="U58" s="2">
        <f>184341.93+601701.1</f>
        <v>786043.03</v>
      </c>
      <c r="V58" s="2"/>
      <c r="W58" s="2">
        <f>177715.19+604861.18</f>
        <v>782576.37000000011</v>
      </c>
      <c r="X58" s="2"/>
      <c r="Y58" s="2">
        <v>-9193.7999999999993</v>
      </c>
      <c r="Z58" s="2"/>
      <c r="AA58" s="16">
        <f>254861.86+627161.14</f>
        <v>882023</v>
      </c>
      <c r="AB58" s="16"/>
      <c r="AC58" s="16">
        <f>363441.69+1320113.41</f>
        <v>1683555.0999999999</v>
      </c>
      <c r="AD58" s="16">
        <f>20923.56+643955.03</f>
        <v>664878.59000000008</v>
      </c>
      <c r="AE58" s="23">
        <f>AF58+9183.82</f>
        <v>2863942.15</v>
      </c>
      <c r="AF58" s="23">
        <f>469042.19+2385716.14</f>
        <v>2854758.33</v>
      </c>
      <c r="AG58" s="23">
        <v>1220473.1200000001</v>
      </c>
      <c r="AH58" s="23">
        <f>147655.46+1072817.66</f>
        <v>1220473.1199999999</v>
      </c>
      <c r="AI58" s="16">
        <f>283794.68+8867.96+960334.11</f>
        <v>1252996.75</v>
      </c>
      <c r="AJ58" s="16">
        <f>283794.68+960334.11</f>
        <v>1244128.79</v>
      </c>
      <c r="AK58" s="16"/>
      <c r="AL58" s="16"/>
      <c r="AM58" s="23">
        <f>256759.71+8650.49+1233710.82</f>
        <v>1499121.02</v>
      </c>
      <c r="AN58" s="23">
        <f>256759.71+1233710.82</f>
        <v>1490470.53</v>
      </c>
      <c r="AO58" s="23"/>
      <c r="AP58" s="23"/>
      <c r="AQ58" s="17"/>
      <c r="AR58" s="17"/>
    </row>
    <row r="59" spans="1:44" x14ac:dyDescent="0.25">
      <c r="A59" s="109" t="s">
        <v>10</v>
      </c>
      <c r="B59" s="1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218898</f>
        <v>218898</v>
      </c>
      <c r="P59" s="2"/>
      <c r="Q59" s="2">
        <v>206882</v>
      </c>
      <c r="R59" s="2"/>
      <c r="S59" s="2">
        <v>165360</v>
      </c>
      <c r="T59" s="2"/>
      <c r="U59" s="2">
        <v>188686.65</v>
      </c>
      <c r="V59" s="2"/>
      <c r="W59" s="2">
        <f>191073</f>
        <v>191073</v>
      </c>
      <c r="X59" s="2"/>
      <c r="Y59" s="2">
        <v>-12759</v>
      </c>
      <c r="Z59" s="2"/>
      <c r="AA59" s="16"/>
      <c r="AB59" s="16"/>
      <c r="AC59" s="16"/>
      <c r="AD59" s="16"/>
      <c r="AE59" s="23">
        <f>AF59+1115</f>
        <v>94671.360000000001</v>
      </c>
      <c r="AF59" s="23">
        <v>93556.36</v>
      </c>
      <c r="AG59" s="23"/>
      <c r="AH59" s="23"/>
      <c r="AI59" s="16">
        <f>92285.57+477</f>
        <v>92762.57</v>
      </c>
      <c r="AJ59" s="16">
        <v>92285.57</v>
      </c>
      <c r="AK59" s="16"/>
      <c r="AL59" s="16"/>
      <c r="AM59" s="23"/>
      <c r="AN59" s="23"/>
      <c r="AO59" s="23"/>
      <c r="AP59" s="23"/>
      <c r="AQ59" s="17"/>
      <c r="AR59" s="17"/>
    </row>
    <row r="60" spans="1:44" ht="30.75" customHeight="1" x14ac:dyDescent="0.25">
      <c r="A60" s="109" t="s">
        <v>16</v>
      </c>
      <c r="B60" s="1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2683.17</v>
      </c>
      <c r="Z60" s="2"/>
      <c r="AA60" s="16">
        <v>199342.7</v>
      </c>
      <c r="AB60" s="16"/>
      <c r="AC60" s="16">
        <f>1258375.62</f>
        <v>1258375.6200000001</v>
      </c>
      <c r="AD60" s="16">
        <v>844102</v>
      </c>
      <c r="AE60" s="23">
        <f>AF60</f>
        <v>1362588.5</v>
      </c>
      <c r="AF60" s="23">
        <v>1362588.5</v>
      </c>
      <c r="AG60" s="23">
        <v>660120.76</v>
      </c>
      <c r="AH60" s="23">
        <v>660120.76</v>
      </c>
      <c r="AI60" s="16">
        <f>633441.77</f>
        <v>633441.77</v>
      </c>
      <c r="AJ60" s="16">
        <v>633441.77</v>
      </c>
      <c r="AK60" s="16"/>
      <c r="AL60" s="16"/>
      <c r="AM60" s="23">
        <v>528973.39</v>
      </c>
      <c r="AN60" s="23">
        <v>528973.39</v>
      </c>
      <c r="AO60" s="23"/>
      <c r="AP60" s="23"/>
      <c r="AQ60" s="17"/>
      <c r="AR60" s="17"/>
    </row>
    <row r="61" spans="1:44" x14ac:dyDescent="0.25">
      <c r="A61" s="111" t="s">
        <v>17</v>
      </c>
      <c r="B61" s="112"/>
      <c r="C61" s="115">
        <v>10765845.27</v>
      </c>
      <c r="D61" s="115">
        <v>7171240.7400000002</v>
      </c>
      <c r="E61" s="115">
        <f>SUM(E63:E67)</f>
        <v>13066265.32</v>
      </c>
      <c r="F61" s="115">
        <f>SUM(F63:F67)</f>
        <v>9363054.25</v>
      </c>
      <c r="G61" s="115">
        <f t="shared" ref="G61:AC61" si="12">SUM(G63:G67)</f>
        <v>12452961.670000002</v>
      </c>
      <c r="H61" s="115">
        <f t="shared" si="12"/>
        <v>10697359.270000001</v>
      </c>
      <c r="I61" s="115">
        <f t="shared" si="12"/>
        <v>10509503.82</v>
      </c>
      <c r="J61" s="115">
        <f t="shared" si="12"/>
        <v>9311032.910000002</v>
      </c>
      <c r="K61" s="115">
        <f t="shared" si="12"/>
        <v>9816963.7700000014</v>
      </c>
      <c r="L61" s="115">
        <f t="shared" si="12"/>
        <v>9514146.0000000019</v>
      </c>
      <c r="M61" s="115">
        <f t="shared" si="12"/>
        <v>10491903.119999999</v>
      </c>
      <c r="N61" s="115">
        <f t="shared" si="12"/>
        <v>10223094.629999999</v>
      </c>
      <c r="O61" s="115">
        <f t="shared" si="12"/>
        <v>11041075.82</v>
      </c>
      <c r="P61" s="115">
        <f t="shared" si="12"/>
        <v>9852688.540000001</v>
      </c>
      <c r="Q61" s="115">
        <f t="shared" si="12"/>
        <v>11491967.560000001</v>
      </c>
      <c r="R61" s="115">
        <f t="shared" si="12"/>
        <v>9865070.0600000005</v>
      </c>
      <c r="S61" s="115">
        <f t="shared" si="12"/>
        <v>12060303.5</v>
      </c>
      <c r="T61" s="115">
        <f t="shared" si="12"/>
        <v>10862190.040000001</v>
      </c>
      <c r="U61" s="115">
        <f t="shared" si="12"/>
        <v>11619250.300000001</v>
      </c>
      <c r="V61" s="115">
        <f t="shared" si="12"/>
        <v>9816511.040000001</v>
      </c>
      <c r="W61" s="115">
        <f t="shared" si="12"/>
        <v>11514591.1</v>
      </c>
      <c r="X61" s="115">
        <f t="shared" si="12"/>
        <v>10293165.02</v>
      </c>
      <c r="Y61" s="115">
        <f t="shared" si="12"/>
        <v>14972637.870000001</v>
      </c>
      <c r="Z61" s="115">
        <f t="shared" si="12"/>
        <v>11006589.689999999</v>
      </c>
      <c r="AA61" s="128">
        <f t="shared" si="12"/>
        <v>11434380.700000001</v>
      </c>
      <c r="AB61" s="128">
        <f t="shared" si="12"/>
        <v>1118646.56</v>
      </c>
      <c r="AC61" s="128">
        <f t="shared" si="12"/>
        <v>20378851.969999999</v>
      </c>
      <c r="AD61" s="128">
        <f t="shared" ref="AD61:AK61" si="13">AD63+AD64+AD65+AD66+AD67</f>
        <v>6845671.4899999993</v>
      </c>
      <c r="AE61" s="126">
        <f t="shared" si="13"/>
        <v>21821924</v>
      </c>
      <c r="AF61" s="126">
        <f t="shared" si="13"/>
        <v>1624721</v>
      </c>
      <c r="AG61" s="126">
        <f t="shared" si="13"/>
        <v>8640587.1999999993</v>
      </c>
      <c r="AH61" s="126">
        <f t="shared" si="13"/>
        <v>0</v>
      </c>
      <c r="AI61" s="122">
        <f t="shared" si="13"/>
        <v>16329235.25</v>
      </c>
      <c r="AJ61" s="122">
        <v>0</v>
      </c>
      <c r="AK61" s="122">
        <f t="shared" si="13"/>
        <v>5018242.82</v>
      </c>
      <c r="AL61" s="122">
        <v>0</v>
      </c>
      <c r="AM61" s="122">
        <f>AM63+AM64+AM65+AM66+AM67</f>
        <v>13360568.66</v>
      </c>
      <c r="AN61" s="122">
        <f>AN63+AN64+AN65+AN66+AN67</f>
        <v>0</v>
      </c>
      <c r="AO61" s="122">
        <f>AO63+AO64+AO65+AO66+AO67</f>
        <v>723497.6</v>
      </c>
      <c r="AP61" s="122">
        <f>AP63+AP64+AP65+AP66+AP67</f>
        <v>0</v>
      </c>
      <c r="AQ61" s="116">
        <f>AM61/AI61-1</f>
        <v>-0.1818007117020376</v>
      </c>
      <c r="AR61" s="116">
        <f>AO61/AK61-1</f>
        <v>-0.85582650621916301</v>
      </c>
    </row>
    <row r="62" spans="1:44" x14ac:dyDescent="0.25">
      <c r="A62" s="113"/>
      <c r="B62" s="11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25"/>
      <c r="AB62" s="125"/>
      <c r="AC62" s="125"/>
      <c r="AD62" s="125"/>
      <c r="AE62" s="127"/>
      <c r="AF62" s="127"/>
      <c r="AG62" s="127"/>
      <c r="AH62" s="127"/>
      <c r="AI62" s="123"/>
      <c r="AJ62" s="123"/>
      <c r="AK62" s="123"/>
      <c r="AL62" s="123"/>
      <c r="AM62" s="123"/>
      <c r="AN62" s="123"/>
      <c r="AO62" s="123"/>
      <c r="AP62" s="123"/>
      <c r="AQ62" s="117"/>
      <c r="AR62" s="117"/>
    </row>
    <row r="63" spans="1:44" ht="45" customHeight="1" x14ac:dyDescent="0.25">
      <c r="A63" s="109" t="s">
        <v>11</v>
      </c>
      <c r="B63" s="110"/>
      <c r="C63" s="2"/>
      <c r="D63" s="2"/>
      <c r="E63" s="2">
        <v>1445875.56</v>
      </c>
      <c r="F63" s="2">
        <v>504057.32</v>
      </c>
      <c r="G63" s="2">
        <f>15780.83+1401592.32</f>
        <v>1417373.1500000001</v>
      </c>
      <c r="H63" s="2">
        <f>497307.75</f>
        <v>497307.75</v>
      </c>
      <c r="I63" s="2">
        <f>14359.15+1094634.15</f>
        <v>1108993.2999999998</v>
      </c>
      <c r="J63" s="2">
        <v>581610.39</v>
      </c>
      <c r="K63" s="2">
        <f>45290.3+812014.95</f>
        <v>857305.25</v>
      </c>
      <c r="L63" s="2">
        <v>554487.48</v>
      </c>
      <c r="M63" s="2">
        <f>22392+828113.09</f>
        <v>850505.09</v>
      </c>
      <c r="N63" s="2">
        <f>581696.6</f>
        <v>581696.6</v>
      </c>
      <c r="O63" s="2">
        <f>24207.15+1590490.12</f>
        <v>1614697.27</v>
      </c>
      <c r="P63" s="2">
        <f>484794.48</f>
        <v>484794.48</v>
      </c>
      <c r="Q63" s="2">
        <v>1906086.62</v>
      </c>
      <c r="R63" s="2"/>
      <c r="S63" s="2">
        <f>23600.15+1705289.54</f>
        <v>1728889.69</v>
      </c>
      <c r="T63" s="2">
        <v>530776.23</v>
      </c>
      <c r="U63" s="2">
        <f>2268996.34+30919.15</f>
        <v>2299915.4899999998</v>
      </c>
      <c r="V63" s="2">
        <v>497176.23</v>
      </c>
      <c r="W63" s="2">
        <f>2127960.81+48959.2</f>
        <v>2176920.0100000002</v>
      </c>
      <c r="X63" s="2">
        <v>955493.93</v>
      </c>
      <c r="Y63" s="2">
        <v>2219644.2799999998</v>
      </c>
      <c r="Z63" s="2">
        <f>782752.86</f>
        <v>782752.86</v>
      </c>
      <c r="AA63" s="16">
        <f>25455.33+3676740.99</f>
        <v>3702196.3200000003</v>
      </c>
      <c r="AB63" s="16">
        <v>370926</v>
      </c>
      <c r="AC63" s="16">
        <f>25119.87+10218497.79</f>
        <v>10243617.659999998</v>
      </c>
      <c r="AD63" s="16">
        <v>3812324.48</v>
      </c>
      <c r="AE63" s="23">
        <f>92866+7505896.09</f>
        <v>7598762.0899999999</v>
      </c>
      <c r="AF63" s="23">
        <v>1624721</v>
      </c>
      <c r="AG63" s="23">
        <v>1546341.78</v>
      </c>
      <c r="AH63" s="13"/>
      <c r="AI63" s="16">
        <f>36469.87+5446750.25</f>
        <v>5483220.1200000001</v>
      </c>
      <c r="AJ63" s="33">
        <v>0</v>
      </c>
      <c r="AK63" s="16">
        <v>2700000</v>
      </c>
      <c r="AL63" s="16">
        <v>0</v>
      </c>
      <c r="AM63" s="16">
        <f>7387.91+4324902.27</f>
        <v>4332290.18</v>
      </c>
      <c r="AN63" s="16"/>
      <c r="AO63" s="16">
        <v>723497.6</v>
      </c>
      <c r="AP63" s="16"/>
      <c r="AQ63" s="24"/>
      <c r="AR63" s="24"/>
    </row>
    <row r="64" spans="1:44" x14ac:dyDescent="0.25">
      <c r="A64" s="109" t="s">
        <v>8</v>
      </c>
      <c r="B64" s="1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107414.79</v>
      </c>
      <c r="R64" s="2"/>
      <c r="S64" s="2"/>
      <c r="T64" s="2"/>
      <c r="U64" s="2"/>
      <c r="V64" s="2"/>
      <c r="W64" s="2"/>
      <c r="X64" s="2"/>
      <c r="Y64" s="2"/>
      <c r="Z64" s="2"/>
      <c r="AA64" s="16">
        <f>240366.78+3338386.23</f>
        <v>3578753.01</v>
      </c>
      <c r="AB64" s="16"/>
      <c r="AC64" s="16">
        <f>213303.85+3570475.36</f>
        <v>3783779.21</v>
      </c>
      <c r="AD64" s="16"/>
      <c r="AE64" s="23">
        <f>1048316.56+3892857.12</f>
        <v>4941173.68</v>
      </c>
      <c r="AF64" s="13"/>
      <c r="AG64" s="23"/>
      <c r="AH64" s="13"/>
      <c r="AI64" s="16">
        <f>1013379.37+4504888.09</f>
        <v>5518267.46</v>
      </c>
      <c r="AJ64" s="16"/>
      <c r="AK64" s="16"/>
      <c r="AL64" s="16"/>
      <c r="AM64" s="16">
        <f>1210586.3+5355017.93</f>
        <v>6565604.2299999995</v>
      </c>
      <c r="AN64" s="16"/>
      <c r="AO64" s="16"/>
      <c r="AP64" s="16"/>
      <c r="AQ64" s="24"/>
      <c r="AR64" s="24"/>
    </row>
    <row r="65" spans="1:44" ht="45" customHeight="1" x14ac:dyDescent="0.25">
      <c r="A65" s="109" t="s">
        <v>9</v>
      </c>
      <c r="B65" s="110"/>
      <c r="C65" s="2"/>
      <c r="D65" s="2"/>
      <c r="E65" s="2">
        <v>1463841.51</v>
      </c>
      <c r="F65" s="2"/>
      <c r="G65" s="2">
        <v>166700</v>
      </c>
      <c r="H65" s="2"/>
      <c r="I65" s="2"/>
      <c r="J65" s="2"/>
      <c r="K65" s="2"/>
      <c r="L65" s="2"/>
      <c r="M65" s="2"/>
      <c r="N65" s="2"/>
      <c r="O65" s="2">
        <v>27151.16</v>
      </c>
      <c r="P65" s="2"/>
      <c r="Q65" s="2">
        <v>78572.100000000006</v>
      </c>
      <c r="R65" s="2"/>
      <c r="S65" s="2"/>
      <c r="T65" s="2"/>
      <c r="U65" s="2"/>
      <c r="V65" s="2"/>
      <c r="W65" s="2"/>
      <c r="X65" s="2"/>
      <c r="Y65" s="2">
        <v>1439851.12</v>
      </c>
      <c r="Z65" s="2"/>
      <c r="AA65" s="16">
        <f>182858.49+1828141.64</f>
        <v>2011000.13</v>
      </c>
      <c r="AB65" s="16"/>
      <c r="AC65" s="16">
        <f>194574.38+2050743.86</f>
        <v>2245318.2400000002</v>
      </c>
      <c r="AD65" s="16"/>
      <c r="AE65" s="23">
        <f>763510.32+2959710.97+0.85</f>
        <v>3723222.14</v>
      </c>
      <c r="AF65" s="13"/>
      <c r="AG65" s="23">
        <f>317932.16+1222488.09</f>
        <v>1540420.25</v>
      </c>
      <c r="AH65" s="13"/>
      <c r="AI65" s="16">
        <f>840855.82+2166721.03</f>
        <v>3007576.8499999996</v>
      </c>
      <c r="AJ65" s="16"/>
      <c r="AK65" s="16"/>
      <c r="AL65" s="16"/>
      <c r="AM65" s="16">
        <f>440681.98+2021992.27</f>
        <v>2462674.25</v>
      </c>
      <c r="AN65" s="16"/>
      <c r="AO65" s="16"/>
      <c r="AP65" s="16"/>
      <c r="AQ65" s="24"/>
      <c r="AR65" s="24"/>
    </row>
    <row r="66" spans="1:44" x14ac:dyDescent="0.25">
      <c r="A66" s="109" t="s">
        <v>10</v>
      </c>
      <c r="B66" s="110"/>
      <c r="C66" s="2"/>
      <c r="D66" s="2"/>
      <c r="E66" s="2">
        <v>10156548.25</v>
      </c>
      <c r="F66" s="2">
        <v>8858996.9299999997</v>
      </c>
      <c r="G66" s="2">
        <f>317.3+10868571.22</f>
        <v>10868888.520000001</v>
      </c>
      <c r="H66" s="2">
        <f>10199734.22+317.3</f>
        <v>10200051.520000001</v>
      </c>
      <c r="I66" s="2">
        <f>317.3+9400193.22</f>
        <v>9400510.5200000014</v>
      </c>
      <c r="J66" s="2">
        <f>317.3+8729105.22</f>
        <v>8729422.5200000014</v>
      </c>
      <c r="K66" s="2">
        <f>317.3+8959341.22</f>
        <v>8959658.5200000014</v>
      </c>
      <c r="L66" s="2">
        <f>317.3+8959341.22</f>
        <v>8959658.5200000014</v>
      </c>
      <c r="M66" s="2">
        <v>9641398.0299999993</v>
      </c>
      <c r="N66" s="2">
        <v>9641398.0299999993</v>
      </c>
      <c r="O66" s="2">
        <f>9367894.06</f>
        <v>9367894.0600000005</v>
      </c>
      <c r="P66" s="2">
        <f>9367894.06</f>
        <v>9367894.0600000005</v>
      </c>
      <c r="Q66" s="2">
        <f>9367894.06</f>
        <v>9367894.0600000005</v>
      </c>
      <c r="R66" s="2">
        <v>9865070.0600000005</v>
      </c>
      <c r="S66" s="2">
        <v>10331413.810000001</v>
      </c>
      <c r="T66" s="2">
        <v>10331413.810000001</v>
      </c>
      <c r="U66" s="2">
        <v>9319334.8100000005</v>
      </c>
      <c r="V66" s="2">
        <v>9319334.8100000005</v>
      </c>
      <c r="W66" s="2">
        <f>9337671.09</f>
        <v>9337671.0899999999</v>
      </c>
      <c r="X66" s="2">
        <v>9337671.0899999999</v>
      </c>
      <c r="Y66" s="2">
        <v>11178667.26</v>
      </c>
      <c r="Z66" s="2">
        <v>10089361.619999999</v>
      </c>
      <c r="AA66" s="16">
        <f>41557.97+1353152.71</f>
        <v>1394710.68</v>
      </c>
      <c r="AB66" s="16"/>
      <c r="AC66" s="16">
        <f>79834.83+2444326.98</f>
        <v>2524161.81</v>
      </c>
      <c r="AD66" s="16">
        <v>1451371.96</v>
      </c>
      <c r="AE66" s="23">
        <f>15039+567180.92</f>
        <v>582219.92000000004</v>
      </c>
      <c r="AF66" s="13"/>
      <c r="AG66" s="23">
        <f>15039+562240</f>
        <v>577279</v>
      </c>
      <c r="AH66" s="13"/>
      <c r="AI66" s="16">
        <v>497002</v>
      </c>
      <c r="AJ66" s="16"/>
      <c r="AK66" s="16">
        <v>495074</v>
      </c>
      <c r="AL66" s="16"/>
      <c r="AM66" s="13"/>
      <c r="AN66" s="13"/>
      <c r="AO66" s="13"/>
      <c r="AP66" s="13"/>
      <c r="AQ66" s="31"/>
      <c r="AR66" s="31"/>
    </row>
    <row r="67" spans="1:44" ht="28.5" customHeight="1" x14ac:dyDescent="0.25">
      <c r="A67" s="109" t="s">
        <v>16</v>
      </c>
      <c r="B67" s="1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31333.33</v>
      </c>
      <c r="P67" s="2"/>
      <c r="Q67" s="2">
        <v>31999.99</v>
      </c>
      <c r="R67" s="2"/>
      <c r="S67" s="2"/>
      <c r="T67" s="2"/>
      <c r="U67" s="2"/>
      <c r="V67" s="2"/>
      <c r="W67" s="2"/>
      <c r="X67" s="2"/>
      <c r="Y67" s="2">
        <v>134475.21</v>
      </c>
      <c r="Z67" s="2">
        <v>134475.21</v>
      </c>
      <c r="AA67" s="16">
        <v>747720.56</v>
      </c>
      <c r="AB67" s="16">
        <v>747720.56</v>
      </c>
      <c r="AC67" s="16">
        <v>1581975.05</v>
      </c>
      <c r="AD67" s="16">
        <v>1581975.05</v>
      </c>
      <c r="AE67" s="23">
        <v>4976546.17</v>
      </c>
      <c r="AF67" s="13"/>
      <c r="AG67" s="23">
        <v>4976546.17</v>
      </c>
      <c r="AH67" s="13"/>
      <c r="AI67" s="16">
        <v>1823168.82</v>
      </c>
      <c r="AJ67" s="16"/>
      <c r="AK67" s="16">
        <v>1823168.82</v>
      </c>
      <c r="AL67" s="16"/>
      <c r="AM67" s="13"/>
      <c r="AN67" s="13"/>
      <c r="AO67" s="13"/>
      <c r="AP67" s="13"/>
      <c r="AQ67" s="31"/>
      <c r="AR67" s="31"/>
    </row>
    <row r="68" spans="1:44" hidden="1" x14ac:dyDescent="0.25">
      <c r="A68" s="111" t="s">
        <v>4</v>
      </c>
      <c r="B68" s="112"/>
      <c r="C68" s="115">
        <v>654159.29</v>
      </c>
      <c r="D68" s="115">
        <f>SUM(D70:D74)</f>
        <v>0</v>
      </c>
      <c r="E68" s="115">
        <f t="shared" ref="E68:Z68" si="14">SUM(E70:E74)</f>
        <v>159427.71</v>
      </c>
      <c r="F68" s="115">
        <f t="shared" si="14"/>
        <v>156150</v>
      </c>
      <c r="G68" s="115">
        <f t="shared" si="14"/>
        <v>166323.26</v>
      </c>
      <c r="H68" s="115">
        <f t="shared" si="14"/>
        <v>156150</v>
      </c>
      <c r="I68" s="115">
        <f t="shared" si="14"/>
        <v>158187.54</v>
      </c>
      <c r="J68" s="115">
        <f t="shared" si="14"/>
        <v>156150</v>
      </c>
      <c r="K68" s="115">
        <f t="shared" si="14"/>
        <v>157389.10999999999</v>
      </c>
      <c r="L68" s="115">
        <f t="shared" si="14"/>
        <v>156150</v>
      </c>
      <c r="M68" s="115">
        <f t="shared" si="14"/>
        <v>162310.56</v>
      </c>
      <c r="N68" s="115">
        <f t="shared" si="14"/>
        <v>156150</v>
      </c>
      <c r="O68" s="115">
        <f t="shared" si="14"/>
        <v>158206.72</v>
      </c>
      <c r="P68" s="115">
        <f t="shared" si="14"/>
        <v>156150</v>
      </c>
      <c r="Q68" s="115">
        <f t="shared" si="14"/>
        <v>162910.32999999999</v>
      </c>
      <c r="R68" s="115">
        <f t="shared" si="14"/>
        <v>156150</v>
      </c>
      <c r="S68" s="115">
        <f t="shared" si="14"/>
        <v>159608.60999999999</v>
      </c>
      <c r="T68" s="115">
        <f t="shared" si="14"/>
        <v>156150</v>
      </c>
      <c r="U68" s="115">
        <f t="shared" si="14"/>
        <v>157986.35</v>
      </c>
      <c r="V68" s="115">
        <f t="shared" si="14"/>
        <v>156150</v>
      </c>
      <c r="W68" s="115">
        <f t="shared" si="14"/>
        <v>159926.9</v>
      </c>
      <c r="X68" s="115">
        <f t="shared" si="14"/>
        <v>156150</v>
      </c>
      <c r="Y68" s="115">
        <f t="shared" si="14"/>
        <v>0</v>
      </c>
      <c r="Z68" s="115">
        <f t="shared" si="14"/>
        <v>0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129">
        <f>Y68/E68-1</f>
        <v>-1</v>
      </c>
      <c r="AR68" s="129">
        <f>Z68/F68-1</f>
        <v>-1</v>
      </c>
    </row>
    <row r="69" spans="1:44" hidden="1" x14ac:dyDescent="0.25">
      <c r="A69" s="113"/>
      <c r="B69" s="11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130"/>
      <c r="AR69" s="130"/>
    </row>
    <row r="70" spans="1:44" hidden="1" x14ac:dyDescent="0.25">
      <c r="A70" s="109" t="s">
        <v>11</v>
      </c>
      <c r="B70" s="110"/>
      <c r="C70" s="2"/>
      <c r="D70" s="2"/>
      <c r="E70" s="2">
        <v>2936.71</v>
      </c>
      <c r="F70" s="2"/>
      <c r="G70" s="2">
        <v>10173.26</v>
      </c>
      <c r="H70" s="2"/>
      <c r="I70" s="2">
        <v>2037.54</v>
      </c>
      <c r="J70" s="2"/>
      <c r="K70" s="2">
        <v>1239.1099999999999</v>
      </c>
      <c r="L70" s="2"/>
      <c r="M70" s="2">
        <v>6160.56</v>
      </c>
      <c r="N70" s="2"/>
      <c r="O70" s="2">
        <v>2056.7199999999998</v>
      </c>
      <c r="P70" s="2"/>
      <c r="Q70" s="2">
        <v>4968.33</v>
      </c>
      <c r="R70" s="2"/>
      <c r="S70" s="2">
        <v>3458.61</v>
      </c>
      <c r="T70" s="2"/>
      <c r="U70" s="2">
        <v>1836.35</v>
      </c>
      <c r="V70" s="2"/>
      <c r="W70" s="2">
        <v>3776.9</v>
      </c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idden="1" x14ac:dyDescent="0.25">
      <c r="A71" s="109" t="s">
        <v>8</v>
      </c>
      <c r="B71" s="1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1"/>
      <c r="AR71" s="31"/>
    </row>
    <row r="72" spans="1:44" hidden="1" x14ac:dyDescent="0.25">
      <c r="A72" s="109" t="s">
        <v>9</v>
      </c>
      <c r="B72" s="110"/>
      <c r="C72" s="2"/>
      <c r="D72" s="2"/>
      <c r="E72" s="2">
        <v>-10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1"/>
      <c r="AR72" s="31"/>
    </row>
    <row r="73" spans="1:44" hidden="1" x14ac:dyDescent="0.25">
      <c r="A73" s="109" t="s">
        <v>10</v>
      </c>
      <c r="B73" s="110"/>
      <c r="C73" s="2"/>
      <c r="D73" s="2"/>
      <c r="E73" s="2">
        <v>351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1792</v>
      </c>
      <c r="R73" s="2"/>
      <c r="S73" s="2"/>
      <c r="T73" s="2"/>
      <c r="U73" s="2"/>
      <c r="V73" s="2"/>
      <c r="W73" s="2"/>
      <c r="X73" s="2"/>
      <c r="Y73" s="2"/>
      <c r="Z73" s="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1"/>
      <c r="AR73" s="31"/>
    </row>
    <row r="74" spans="1:44" hidden="1" x14ac:dyDescent="0.25">
      <c r="A74" s="109" t="s">
        <v>16</v>
      </c>
      <c r="B74" s="110"/>
      <c r="C74" s="2"/>
      <c r="D74" s="2"/>
      <c r="E74" s="2">
        <v>156150</v>
      </c>
      <c r="F74" s="2">
        <v>156150</v>
      </c>
      <c r="G74" s="2">
        <v>156150</v>
      </c>
      <c r="H74" s="2">
        <v>156150</v>
      </c>
      <c r="I74" s="2">
        <v>156150</v>
      </c>
      <c r="J74" s="2">
        <v>156150</v>
      </c>
      <c r="K74" s="2">
        <v>156150</v>
      </c>
      <c r="L74" s="2">
        <v>156150</v>
      </c>
      <c r="M74" s="2">
        <v>156150</v>
      </c>
      <c r="N74" s="2">
        <v>156150</v>
      </c>
      <c r="O74" s="2">
        <v>156150</v>
      </c>
      <c r="P74" s="2">
        <v>156150</v>
      </c>
      <c r="Q74" s="2">
        <v>156150</v>
      </c>
      <c r="R74" s="2">
        <v>156150</v>
      </c>
      <c r="S74" s="2">
        <v>156150</v>
      </c>
      <c r="T74" s="2">
        <v>156150</v>
      </c>
      <c r="U74" s="2">
        <v>156150</v>
      </c>
      <c r="V74" s="2">
        <v>156150</v>
      </c>
      <c r="W74" s="2">
        <v>156150</v>
      </c>
      <c r="X74" s="2">
        <v>156150</v>
      </c>
      <c r="Y74" s="2">
        <v>0</v>
      </c>
      <c r="Z74" s="2">
        <v>0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11" t="s">
        <v>18</v>
      </c>
      <c r="B75" s="112"/>
      <c r="C75" s="107">
        <v>10829169.880000001</v>
      </c>
      <c r="D75" s="107">
        <f>1640975.89+2975186.97+988391.8</f>
        <v>5604554.6600000001</v>
      </c>
      <c r="E75" s="107">
        <f>SUM(E77:E81)</f>
        <v>6197764.7700000005</v>
      </c>
      <c r="F75" s="107">
        <f>SUM(F77:F81)</f>
        <v>3749667.49</v>
      </c>
      <c r="G75" s="107">
        <f t="shared" ref="G75:AD75" si="15">SUM(G77:G81)</f>
        <v>6852948.2799999993</v>
      </c>
      <c r="H75" s="107">
        <f t="shared" si="15"/>
        <v>3749667.49</v>
      </c>
      <c r="I75" s="107">
        <f t="shared" si="15"/>
        <v>5929212.6499999994</v>
      </c>
      <c r="J75" s="107">
        <f t="shared" si="15"/>
        <v>2974471.0500000003</v>
      </c>
      <c r="K75" s="107">
        <f t="shared" si="15"/>
        <v>7559967.5599999996</v>
      </c>
      <c r="L75" s="107">
        <f t="shared" si="15"/>
        <v>2974471.0500000003</v>
      </c>
      <c r="M75" s="107">
        <f t="shared" si="15"/>
        <v>6930316.6799999997</v>
      </c>
      <c r="N75" s="107">
        <f t="shared" si="15"/>
        <v>4894294.6399999997</v>
      </c>
      <c r="O75" s="107">
        <f t="shared" si="15"/>
        <v>7219255.4799999995</v>
      </c>
      <c r="P75" s="107">
        <f t="shared" si="15"/>
        <v>4894294.6399999997</v>
      </c>
      <c r="Q75" s="107">
        <f t="shared" si="15"/>
        <v>9600917.8499999996</v>
      </c>
      <c r="R75" s="107">
        <f t="shared" si="15"/>
        <v>4651292.82</v>
      </c>
      <c r="S75" s="107">
        <f t="shared" si="15"/>
        <v>8525632.5199999996</v>
      </c>
      <c r="T75" s="107">
        <f t="shared" si="15"/>
        <v>4005766.16</v>
      </c>
      <c r="U75" s="107">
        <f t="shared" si="15"/>
        <v>10599393.380000001</v>
      </c>
      <c r="V75" s="107">
        <f t="shared" si="15"/>
        <v>1496363.55</v>
      </c>
      <c r="W75" s="107">
        <f t="shared" si="15"/>
        <v>20377243.73</v>
      </c>
      <c r="X75" s="107">
        <f t="shared" si="15"/>
        <v>1496363.55</v>
      </c>
      <c r="Y75" s="107">
        <f t="shared" si="15"/>
        <v>20412653.610000003</v>
      </c>
      <c r="Z75" s="107">
        <f t="shared" si="15"/>
        <v>13308419.82</v>
      </c>
      <c r="AA75" s="124">
        <f t="shared" si="15"/>
        <v>54055934.440000005</v>
      </c>
      <c r="AB75" s="124">
        <f t="shared" si="15"/>
        <v>17697811.539999999</v>
      </c>
      <c r="AC75" s="124">
        <f t="shared" si="15"/>
        <v>61418098.109999999</v>
      </c>
      <c r="AD75" s="124">
        <f t="shared" si="15"/>
        <v>39172056.890000001</v>
      </c>
      <c r="AE75" s="118">
        <f>AE77+AE78+AE79+AE80+AE81</f>
        <v>12238071.009999998</v>
      </c>
      <c r="AF75" s="118">
        <f>AF77+AF78+AF79+AF80+AF81</f>
        <v>4454905.63</v>
      </c>
      <c r="AG75" s="118">
        <f>AG77+AG78+AG79+AG80+AG81</f>
        <v>401041.57</v>
      </c>
      <c r="AH75" s="118">
        <f>AH77+AH78+AH79+AH80+AH81</f>
        <v>0</v>
      </c>
      <c r="AI75" s="120">
        <f>AI77+AI78+AI79+AI80+AI81</f>
        <v>75253.62</v>
      </c>
      <c r="AJ75" s="120">
        <v>0</v>
      </c>
      <c r="AK75" s="120">
        <v>0</v>
      </c>
      <c r="AL75" s="120">
        <v>0</v>
      </c>
      <c r="AM75" s="120">
        <f>AM77+AM78+AM79+AM80+AM81</f>
        <v>0</v>
      </c>
      <c r="AN75" s="120">
        <f>AN77+AN78+AN79+AN80+AN81</f>
        <v>0</v>
      </c>
      <c r="AO75" s="120">
        <f>AO77+AO78+AO79+AO80+AO81</f>
        <v>0</v>
      </c>
      <c r="AP75" s="120">
        <f>AP77+AP78+AP79+AP80+AP81</f>
        <v>0</v>
      </c>
      <c r="AQ75" s="116">
        <f>AM75/AI75-1</f>
        <v>-1</v>
      </c>
      <c r="AR75" s="116" t="e">
        <f>AO75/AK75-1</f>
        <v>#DIV/0!</v>
      </c>
    </row>
    <row r="76" spans="1:44" x14ac:dyDescent="0.25">
      <c r="A76" s="113"/>
      <c r="B76" s="11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25"/>
      <c r="AB76" s="125"/>
      <c r="AC76" s="125"/>
      <c r="AD76" s="125"/>
      <c r="AE76" s="119"/>
      <c r="AF76" s="119"/>
      <c r="AG76" s="119"/>
      <c r="AH76" s="119"/>
      <c r="AI76" s="121"/>
      <c r="AJ76" s="121"/>
      <c r="AK76" s="121"/>
      <c r="AL76" s="121"/>
      <c r="AM76" s="121"/>
      <c r="AN76" s="121"/>
      <c r="AO76" s="121"/>
      <c r="AP76" s="121"/>
      <c r="AQ76" s="117"/>
      <c r="AR76" s="117"/>
    </row>
    <row r="77" spans="1:44" ht="45" customHeight="1" x14ac:dyDescent="0.25">
      <c r="A77" s="109" t="s">
        <v>11</v>
      </c>
      <c r="B77" s="110"/>
      <c r="C77" s="1"/>
      <c r="D77" s="1"/>
      <c r="E77" s="1">
        <v>6195284.0800000001</v>
      </c>
      <c r="F77" s="1">
        <f>3363056.56+386610.93</f>
        <v>3749667.49</v>
      </c>
      <c r="G77" s="1">
        <f>2263909.36+4559378.25</f>
        <v>6823287.6099999994</v>
      </c>
      <c r="H77" s="1">
        <f>386610.93+3363056.56</f>
        <v>3749667.49</v>
      </c>
      <c r="I77" s="1">
        <f>1799893.76+4099496.79</f>
        <v>5899390.5499999998</v>
      </c>
      <c r="J77" s="1">
        <f>386610.93+2587860.12</f>
        <v>2974471.0500000003</v>
      </c>
      <c r="K77" s="1">
        <f>5416106.16+2141154.26+1386.18+1320.96</f>
        <v>7559967.5599999996</v>
      </c>
      <c r="L77" s="1">
        <f>2587860.12+386610.93</f>
        <v>2974471.0500000003</v>
      </c>
      <c r="M77" s="1">
        <v>6930316.6799999997</v>
      </c>
      <c r="N77" s="1">
        <v>4894294.6399999997</v>
      </c>
      <c r="O77" s="1">
        <f>1865798.47+5348998.75</f>
        <v>7214797.2199999997</v>
      </c>
      <c r="P77" s="1">
        <f>386610.93+4507683.71</f>
        <v>4894294.6399999997</v>
      </c>
      <c r="Q77" s="1">
        <v>9600917.8499999996</v>
      </c>
      <c r="R77" s="1">
        <v>4651292.82</v>
      </c>
      <c r="S77" s="1">
        <f>2951333.92+5555295.68+15251.76+3751.16</f>
        <v>8525632.5199999996</v>
      </c>
      <c r="T77" s="1">
        <f>3619155.23+386610.93</f>
        <v>4005766.16</v>
      </c>
      <c r="U77" s="1">
        <f>1992205.58+8591549.02+5323.15+10315.63</f>
        <v>10599393.380000001</v>
      </c>
      <c r="V77" s="1">
        <f>1109752.62+386610.93</f>
        <v>1496363.55</v>
      </c>
      <c r="W77" s="1">
        <f>10545735.23+9823125.67+3422.46+4960.37</f>
        <v>20377243.73</v>
      </c>
      <c r="X77" s="1">
        <f>386610.93+1109752.62</f>
        <v>1496363.55</v>
      </c>
      <c r="Y77" s="1">
        <v>20441640.960000001</v>
      </c>
      <c r="Z77" s="1">
        <v>13308419.82</v>
      </c>
      <c r="AA77" s="19">
        <f>33166250.55+116.03+20185020.65+10333.24-153588.27</f>
        <v>53208132.200000003</v>
      </c>
      <c r="AB77" s="19">
        <f>17535000.48+162811.06-153588.27</f>
        <v>17544223.27</v>
      </c>
      <c r="AC77" s="19">
        <f>44014737.97+19482.3+16465957.71</f>
        <v>60500177.979999997</v>
      </c>
      <c r="AD77" s="19">
        <f>29503554.98+9668501.91</f>
        <v>39172056.890000001</v>
      </c>
      <c r="AE77" s="28">
        <v>11770839.189999999</v>
      </c>
      <c r="AF77" s="28">
        <v>4454905.63</v>
      </c>
      <c r="AG77" s="28">
        <v>401041.57</v>
      </c>
      <c r="AH77" s="12"/>
      <c r="AI77" s="19">
        <v>75253.62</v>
      </c>
      <c r="AJ77" s="19">
        <v>0</v>
      </c>
      <c r="AK77" s="19">
        <v>0</v>
      </c>
      <c r="AL77" s="19"/>
      <c r="AM77" s="12"/>
      <c r="AN77" s="12"/>
      <c r="AO77" s="12"/>
      <c r="AP77" s="12"/>
      <c r="AQ77" s="39"/>
      <c r="AR77" s="39"/>
    </row>
    <row r="78" spans="1:44" x14ac:dyDescent="0.25">
      <c r="A78" s="109" t="s">
        <v>8</v>
      </c>
      <c r="B78" s="1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9">
        <f>174701.03+239873.77</f>
        <v>414574.8</v>
      </c>
      <c r="AB78" s="19"/>
      <c r="AC78" s="19">
        <f>340113.75+6309.58+298211.41</f>
        <v>644634.74</v>
      </c>
      <c r="AD78" s="19"/>
      <c r="AE78" s="28">
        <f>180975.63+90797+9669.95</f>
        <v>281442.58</v>
      </c>
      <c r="AF78" s="12"/>
      <c r="AG78" s="12"/>
      <c r="AH78" s="12"/>
      <c r="AI78" s="19"/>
      <c r="AJ78" s="19"/>
      <c r="AK78" s="19"/>
      <c r="AL78" s="19"/>
      <c r="AM78" s="12"/>
      <c r="AN78" s="12"/>
      <c r="AO78" s="12"/>
      <c r="AP78" s="12"/>
      <c r="AQ78" s="39"/>
      <c r="AR78" s="39"/>
    </row>
    <row r="79" spans="1:44" ht="45.75" customHeight="1" x14ac:dyDescent="0.25">
      <c r="A79" s="109" t="s">
        <v>9</v>
      </c>
      <c r="B79" s="110"/>
      <c r="C79" s="1"/>
      <c r="D79" s="1"/>
      <c r="E79" s="1"/>
      <c r="F79" s="1"/>
      <c r="G79" s="1">
        <v>-0.01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9">
        <v>150004.17000000001</v>
      </c>
      <c r="AB79" s="19"/>
      <c r="AC79" s="19">
        <f>218911.42+53273.97</f>
        <v>272185.39</v>
      </c>
      <c r="AD79" s="19"/>
      <c r="AE79" s="28">
        <v>185472.7</v>
      </c>
      <c r="AF79" s="12"/>
      <c r="AG79" s="12"/>
      <c r="AH79" s="12"/>
      <c r="AI79" s="19"/>
      <c r="AJ79" s="19"/>
      <c r="AK79" s="19"/>
      <c r="AL79" s="19"/>
      <c r="AM79" s="12"/>
      <c r="AN79" s="12"/>
      <c r="AO79" s="12"/>
      <c r="AP79" s="12"/>
      <c r="AQ79" s="39"/>
      <c r="AR79" s="39"/>
    </row>
    <row r="80" spans="1:44" x14ac:dyDescent="0.25">
      <c r="A80" s="109" t="s">
        <v>10</v>
      </c>
      <c r="B80" s="110"/>
      <c r="C80" s="1"/>
      <c r="D80" s="1"/>
      <c r="E80" s="1"/>
      <c r="F80" s="1"/>
      <c r="G80" s="1">
        <v>-67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v>-94199.79</v>
      </c>
      <c r="Z80" s="1"/>
      <c r="AA80" s="19">
        <f>129635</f>
        <v>129635</v>
      </c>
      <c r="AB80" s="19"/>
      <c r="AC80" s="19"/>
      <c r="AD80" s="19"/>
      <c r="AE80" s="28"/>
      <c r="AF80" s="12"/>
      <c r="AG80" s="12"/>
      <c r="AH80" s="12"/>
      <c r="AI80" s="19"/>
      <c r="AJ80" s="19"/>
      <c r="AK80" s="19"/>
      <c r="AL80" s="19"/>
      <c r="AM80" s="12"/>
      <c r="AN80" s="12"/>
      <c r="AO80" s="12"/>
      <c r="AP80" s="12"/>
      <c r="AQ80" s="39"/>
      <c r="AR80" s="39"/>
    </row>
    <row r="81" spans="1:44" ht="28.5" customHeight="1" x14ac:dyDescent="0.25">
      <c r="A81" s="109" t="s">
        <v>16</v>
      </c>
      <c r="B81" s="110"/>
      <c r="C81" s="1"/>
      <c r="D81" s="1"/>
      <c r="E81" s="1">
        <v>2480.69</v>
      </c>
      <c r="F81" s="1"/>
      <c r="G81" s="1">
        <f>10138.57+19589.11</f>
        <v>29727.68</v>
      </c>
      <c r="H81" s="1"/>
      <c r="I81" s="1">
        <f>14183.88+15638.22</f>
        <v>29822.1</v>
      </c>
      <c r="J81" s="1"/>
      <c r="K81" s="1"/>
      <c r="L81" s="1"/>
      <c r="M81" s="1"/>
      <c r="N81" s="1"/>
      <c r="O81" s="1">
        <v>4458.26</v>
      </c>
      <c r="P81" s="1"/>
      <c r="Q81" s="1"/>
      <c r="R81" s="1"/>
      <c r="S81" s="1"/>
      <c r="T81" s="1"/>
      <c r="U81" s="1"/>
      <c r="V81" s="1"/>
      <c r="W81" s="1"/>
      <c r="X81" s="1"/>
      <c r="Y81" s="1">
        <v>65212.44</v>
      </c>
      <c r="Z81" s="1"/>
      <c r="AA81" s="19">
        <v>153588.26999999999</v>
      </c>
      <c r="AB81" s="19">
        <v>153588.26999999999</v>
      </c>
      <c r="AC81" s="19">
        <v>1100</v>
      </c>
      <c r="AD81" s="19"/>
      <c r="AE81" s="28">
        <v>316.54000000000002</v>
      </c>
      <c r="AF81" s="12"/>
      <c r="AG81" s="12"/>
      <c r="AH81" s="12"/>
      <c r="AI81" s="19"/>
      <c r="AJ81" s="19"/>
      <c r="AK81" s="19"/>
      <c r="AL81" s="19"/>
      <c r="AM81" s="12"/>
      <c r="AN81" s="12"/>
      <c r="AO81" s="12"/>
      <c r="AP81" s="12"/>
      <c r="AQ81" s="39"/>
      <c r="AR81" s="39"/>
    </row>
    <row r="82" spans="1:44" x14ac:dyDescent="0.25">
      <c r="A82" s="111" t="s">
        <v>15</v>
      </c>
      <c r="B82" s="112"/>
      <c r="C82" s="115">
        <v>-1470.89</v>
      </c>
      <c r="D82" s="115">
        <f>SUM(D84:D88)</f>
        <v>0</v>
      </c>
      <c r="E82" s="115">
        <f t="shared" ref="E82:AB82" si="16">SUM(E84:E88)</f>
        <v>741.25</v>
      </c>
      <c r="F82" s="115">
        <f t="shared" si="16"/>
        <v>0</v>
      </c>
      <c r="G82" s="115">
        <f t="shared" si="16"/>
        <v>0</v>
      </c>
      <c r="H82" s="115">
        <f t="shared" si="16"/>
        <v>0</v>
      </c>
      <c r="I82" s="115">
        <f t="shared" si="16"/>
        <v>0</v>
      </c>
      <c r="J82" s="115">
        <f t="shared" si="16"/>
        <v>0</v>
      </c>
      <c r="K82" s="115">
        <f t="shared" si="16"/>
        <v>0</v>
      </c>
      <c r="L82" s="115">
        <f t="shared" si="16"/>
        <v>0</v>
      </c>
      <c r="M82" s="115">
        <f t="shared" si="16"/>
        <v>0</v>
      </c>
      <c r="N82" s="115">
        <f t="shared" si="16"/>
        <v>0</v>
      </c>
      <c r="O82" s="115">
        <f t="shared" si="16"/>
        <v>0</v>
      </c>
      <c r="P82" s="115">
        <f t="shared" si="16"/>
        <v>0</v>
      </c>
      <c r="Q82" s="115">
        <f t="shared" si="16"/>
        <v>0</v>
      </c>
      <c r="R82" s="115">
        <f t="shared" si="16"/>
        <v>0</v>
      </c>
      <c r="S82" s="115">
        <f t="shared" si="16"/>
        <v>0</v>
      </c>
      <c r="T82" s="115">
        <f t="shared" si="16"/>
        <v>0</v>
      </c>
      <c r="U82" s="115">
        <f t="shared" si="16"/>
        <v>0</v>
      </c>
      <c r="V82" s="115">
        <f t="shared" si="16"/>
        <v>0</v>
      </c>
      <c r="W82" s="115">
        <f t="shared" si="16"/>
        <v>0</v>
      </c>
      <c r="X82" s="115">
        <f t="shared" si="16"/>
        <v>0</v>
      </c>
      <c r="Y82" s="115">
        <f t="shared" si="16"/>
        <v>0</v>
      </c>
      <c r="Z82" s="115">
        <f t="shared" si="16"/>
        <v>0</v>
      </c>
      <c r="AA82" s="128">
        <f>AA84+AA85+AA86+AA87+AA88</f>
        <v>84248.31</v>
      </c>
      <c r="AB82" s="128">
        <f t="shared" si="16"/>
        <v>0</v>
      </c>
      <c r="AC82" s="128">
        <f>SUM(AC84:AC88)</f>
        <v>130082.92000000001</v>
      </c>
      <c r="AD82" s="128">
        <f>SUM(AD84:AD88)</f>
        <v>0</v>
      </c>
      <c r="AE82" s="126">
        <f t="shared" ref="AE82:AL82" si="17">AE84+AE85+AE86+AE87+AE88</f>
        <v>122664.07</v>
      </c>
      <c r="AF82" s="126">
        <f t="shared" si="17"/>
        <v>0</v>
      </c>
      <c r="AG82" s="126">
        <f t="shared" si="17"/>
        <v>0</v>
      </c>
      <c r="AH82" s="126">
        <f t="shared" si="17"/>
        <v>0</v>
      </c>
      <c r="AI82" s="122">
        <f t="shared" si="17"/>
        <v>45365.68</v>
      </c>
      <c r="AJ82" s="122">
        <f t="shared" si="17"/>
        <v>0</v>
      </c>
      <c r="AK82" s="122">
        <v>0</v>
      </c>
      <c r="AL82" s="122">
        <f t="shared" si="17"/>
        <v>0</v>
      </c>
      <c r="AM82" s="122">
        <f>AM84+AM85+AM86+AM87+AM88</f>
        <v>77249.989999999991</v>
      </c>
      <c r="AN82" s="122">
        <f>AN84+AN85+AN86+AN87+AN88</f>
        <v>0</v>
      </c>
      <c r="AO82" s="122">
        <f>AO84+AO85+AO86+AO87+AO88</f>
        <v>0</v>
      </c>
      <c r="AP82" s="122">
        <f>AP84+AP85+AP86+AP87+AP88</f>
        <v>0</v>
      </c>
      <c r="AQ82" s="116">
        <f>AM82/AI82-1</f>
        <v>0.70282887857076082</v>
      </c>
      <c r="AR82" s="116" t="e">
        <f>AO82/AK82-1</f>
        <v>#DIV/0!</v>
      </c>
    </row>
    <row r="83" spans="1:44" x14ac:dyDescent="0.25">
      <c r="A83" s="113"/>
      <c r="B83" s="11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25"/>
      <c r="AB83" s="125"/>
      <c r="AC83" s="131"/>
      <c r="AD83" s="125"/>
      <c r="AE83" s="127"/>
      <c r="AF83" s="127"/>
      <c r="AG83" s="127"/>
      <c r="AH83" s="127"/>
      <c r="AI83" s="123"/>
      <c r="AJ83" s="123"/>
      <c r="AK83" s="123"/>
      <c r="AL83" s="123"/>
      <c r="AM83" s="123"/>
      <c r="AN83" s="123"/>
      <c r="AO83" s="123"/>
      <c r="AP83" s="123"/>
      <c r="AQ83" s="117"/>
      <c r="AR83" s="117"/>
    </row>
    <row r="84" spans="1:44" ht="44.25" customHeight="1" x14ac:dyDescent="0.25">
      <c r="A84" s="109" t="s">
        <v>11</v>
      </c>
      <c r="B84" s="110"/>
      <c r="C84" s="2"/>
      <c r="D84" s="2"/>
      <c r="E84" s="2">
        <v>741.25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6"/>
      <c r="AB84" s="16"/>
      <c r="AC84" s="16">
        <v>5034.4399999999996</v>
      </c>
      <c r="AD84" s="13"/>
      <c r="AE84" s="23">
        <v>354.61</v>
      </c>
      <c r="AF84" s="23"/>
      <c r="AG84" s="23"/>
      <c r="AH84" s="23"/>
      <c r="AI84" s="16"/>
      <c r="AJ84" s="16"/>
      <c r="AK84" s="16"/>
      <c r="AL84" s="16"/>
      <c r="AM84" s="16"/>
      <c r="AN84" s="16"/>
      <c r="AO84" s="16"/>
      <c r="AP84" s="16"/>
      <c r="AQ84" s="24"/>
      <c r="AR84" s="24"/>
    </row>
    <row r="85" spans="1:44" x14ac:dyDescent="0.25">
      <c r="A85" s="109" t="s">
        <v>8</v>
      </c>
      <c r="B85" s="110"/>
      <c r="C85" s="2"/>
      <c r="D85" s="2"/>
      <c r="E85" s="2">
        <v>0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6">
        <v>53091.66</v>
      </c>
      <c r="AB85" s="16"/>
      <c r="AC85" s="16">
        <v>81730</v>
      </c>
      <c r="AD85" s="13"/>
      <c r="AE85" s="23">
        <v>82376</v>
      </c>
      <c r="AF85" s="23"/>
      <c r="AG85" s="23"/>
      <c r="AH85" s="23"/>
      <c r="AI85" s="16">
        <v>28290.47</v>
      </c>
      <c r="AJ85" s="16"/>
      <c r="AK85" s="16"/>
      <c r="AL85" s="16"/>
      <c r="AM85" s="16">
        <v>48626.74</v>
      </c>
      <c r="AN85" s="16"/>
      <c r="AO85" s="16"/>
      <c r="AP85" s="16"/>
      <c r="AQ85" s="24"/>
      <c r="AR85" s="24"/>
    </row>
    <row r="86" spans="1:44" ht="45" customHeight="1" x14ac:dyDescent="0.25">
      <c r="A86" s="109" t="s">
        <v>9</v>
      </c>
      <c r="B86" s="110"/>
      <c r="C86" s="2"/>
      <c r="D86" s="2"/>
      <c r="E86" s="2">
        <v>0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6">
        <v>31156.65</v>
      </c>
      <c r="AB86" s="16"/>
      <c r="AC86" s="16">
        <v>43318.48</v>
      </c>
      <c r="AD86" s="13"/>
      <c r="AE86" s="23">
        <v>39933.46</v>
      </c>
      <c r="AF86" s="23"/>
      <c r="AG86" s="23"/>
      <c r="AH86" s="23"/>
      <c r="AI86" s="16">
        <v>17075.21</v>
      </c>
      <c r="AJ86" s="16"/>
      <c r="AK86" s="16"/>
      <c r="AL86" s="16"/>
      <c r="AM86" s="16">
        <v>28623.25</v>
      </c>
      <c r="AN86" s="16"/>
      <c r="AO86" s="16"/>
      <c r="AP86" s="16"/>
      <c r="AQ86" s="24"/>
      <c r="AR86" s="24"/>
    </row>
    <row r="87" spans="1:44" x14ac:dyDescent="0.25">
      <c r="A87" s="109" t="s">
        <v>10</v>
      </c>
      <c r="B87" s="11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6"/>
      <c r="AB87" s="23"/>
      <c r="AC87" s="13"/>
      <c r="AD87" s="13"/>
      <c r="AE87" s="13"/>
      <c r="AF87" s="13"/>
      <c r="AG87" s="13"/>
      <c r="AH87" s="13"/>
      <c r="AI87" s="16"/>
      <c r="AJ87" s="16"/>
      <c r="AK87" s="16"/>
      <c r="AL87" s="16"/>
      <c r="AM87" s="13"/>
      <c r="AN87" s="13"/>
      <c r="AO87" s="13"/>
      <c r="AP87" s="13"/>
      <c r="AQ87" s="31"/>
      <c r="AR87" s="31"/>
    </row>
    <row r="88" spans="1:44" ht="30" customHeight="1" x14ac:dyDescent="0.25">
      <c r="A88" s="109" t="s">
        <v>16</v>
      </c>
      <c r="B88" s="1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31"/>
      <c r="AR88" s="31"/>
    </row>
    <row r="89" spans="1:44" ht="60" hidden="1" x14ac:dyDescent="0.25">
      <c r="A89" s="7" t="s">
        <v>25</v>
      </c>
      <c r="B89" s="7"/>
      <c r="C89" s="9">
        <v>3090165.46</v>
      </c>
      <c r="D89" s="9">
        <v>3090165.46</v>
      </c>
      <c r="E89" s="9">
        <f>SUM(E90:E92)</f>
        <v>0</v>
      </c>
      <c r="F89" s="9">
        <f>SUM(F90:F92)</f>
        <v>0</v>
      </c>
      <c r="G89" s="9">
        <f t="shared" ref="G89:Z89" si="18">SUM(G90:G92)</f>
        <v>0</v>
      </c>
      <c r="H89" s="9">
        <f t="shared" si="18"/>
        <v>0</v>
      </c>
      <c r="I89" s="9">
        <f t="shared" si="18"/>
        <v>0</v>
      </c>
      <c r="J89" s="9">
        <f t="shared" si="18"/>
        <v>0</v>
      </c>
      <c r="K89" s="9">
        <f t="shared" si="18"/>
        <v>0</v>
      </c>
      <c r="L89" s="9">
        <f t="shared" si="18"/>
        <v>0</v>
      </c>
      <c r="M89" s="9">
        <f t="shared" si="18"/>
        <v>0</v>
      </c>
      <c r="N89" s="9">
        <f t="shared" si="18"/>
        <v>0</v>
      </c>
      <c r="O89" s="9">
        <f t="shared" si="18"/>
        <v>0</v>
      </c>
      <c r="P89" s="9">
        <f t="shared" si="18"/>
        <v>0</v>
      </c>
      <c r="Q89" s="9">
        <f t="shared" si="18"/>
        <v>0</v>
      </c>
      <c r="R89" s="9">
        <f t="shared" si="18"/>
        <v>0</v>
      </c>
      <c r="S89" s="9">
        <f t="shared" si="18"/>
        <v>0</v>
      </c>
      <c r="T89" s="9">
        <f t="shared" si="18"/>
        <v>0</v>
      </c>
      <c r="U89" s="9">
        <f t="shared" si="18"/>
        <v>0</v>
      </c>
      <c r="V89" s="9">
        <f t="shared" si="18"/>
        <v>0</v>
      </c>
      <c r="W89" s="9">
        <f t="shared" si="18"/>
        <v>0</v>
      </c>
      <c r="X89" s="9">
        <f t="shared" si="18"/>
        <v>0</v>
      </c>
      <c r="Y89" s="9">
        <f t="shared" si="18"/>
        <v>0</v>
      </c>
      <c r="Z89" s="9">
        <f t="shared" si="18"/>
        <v>0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129">
        <v>0</v>
      </c>
      <c r="AR89" s="129">
        <v>0</v>
      </c>
    </row>
    <row r="90" spans="1:44" hidden="1" x14ac:dyDescent="0.25">
      <c r="A90" s="109" t="s">
        <v>10</v>
      </c>
      <c r="B90" s="132"/>
      <c r="C90" s="2"/>
      <c r="D90" s="2"/>
      <c r="E90" s="2"/>
      <c r="F90" s="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3"/>
      <c r="AB90" s="13"/>
      <c r="AC90" s="13"/>
      <c r="AD90" s="13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130"/>
      <c r="AR90" s="130"/>
    </row>
    <row r="91" spans="1:44" hidden="1" x14ac:dyDescent="0.25">
      <c r="A91" s="133" t="s">
        <v>24</v>
      </c>
      <c r="B91" s="132"/>
      <c r="C91" s="9">
        <f>4008760.53+5844431.63+14283.75+179317.37</f>
        <v>10046793.279999999</v>
      </c>
      <c r="D91" s="9">
        <f>989699.04+1910943.77</f>
        <v>2900642.81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32"/>
      <c r="AR91" s="32"/>
    </row>
    <row r="92" spans="1:44" hidden="1" x14ac:dyDescent="0.25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31"/>
      <c r="AR92" s="31"/>
    </row>
    <row r="93" spans="1:44" x14ac:dyDescent="0.25">
      <c r="A93" s="133" t="s">
        <v>12</v>
      </c>
      <c r="B93" s="132"/>
      <c r="C93" s="10">
        <f>C8+C33+C40+C47+C54+C61+C68+C75+C82+C89+C91</f>
        <v>94587677.819999993</v>
      </c>
      <c r="D93" s="10">
        <f>D8+D33+D40+D47+D54+D61+D68+D75+D82+D89+D91</f>
        <v>68008770.719999999</v>
      </c>
      <c r="E93" s="10">
        <f>E8+E33+E40+E47+E54+E61+E68+E75+E82+E89</f>
        <v>85864729.75999999</v>
      </c>
      <c r="F93" s="10">
        <f>F8+F33+F40+F47+F54+F61+F68+F75+F82+F89</f>
        <v>66510808.209999993</v>
      </c>
      <c r="G93" s="10">
        <f t="shared" ref="G93:Y93" si="19">G8+G33+G40+G47+G54+G61+G68+G75+G82+G89</f>
        <v>93511066.090000018</v>
      </c>
      <c r="H93" s="10">
        <f t="shared" si="19"/>
        <v>66963948.660000004</v>
      </c>
      <c r="I93" s="10">
        <f t="shared" si="19"/>
        <v>92440148.88000001</v>
      </c>
      <c r="J93" s="10">
        <f t="shared" si="19"/>
        <v>69371696.100000009</v>
      </c>
      <c r="K93" s="10">
        <f t="shared" si="19"/>
        <v>93692017.959999993</v>
      </c>
      <c r="L93" s="10">
        <f t="shared" si="19"/>
        <v>72494645.030000001</v>
      </c>
      <c r="M93" s="10">
        <f t="shared" si="19"/>
        <v>95350288.340000004</v>
      </c>
      <c r="N93" s="10">
        <f t="shared" si="19"/>
        <v>74699098.340000004</v>
      </c>
      <c r="O93" s="10">
        <f t="shared" si="19"/>
        <v>92952938.269999996</v>
      </c>
      <c r="P93" s="10">
        <f t="shared" si="19"/>
        <v>82357876.220000014</v>
      </c>
      <c r="Q93" s="10">
        <f t="shared" si="19"/>
        <v>97449531.209999979</v>
      </c>
      <c r="R93" s="10">
        <f t="shared" si="19"/>
        <v>74441297.569999993</v>
      </c>
      <c r="S93" s="10">
        <f t="shared" si="19"/>
        <v>96755275.489999995</v>
      </c>
      <c r="T93" s="10">
        <f t="shared" si="19"/>
        <v>74719949.890000001</v>
      </c>
      <c r="U93" s="10">
        <f t="shared" si="19"/>
        <v>97352731.719999984</v>
      </c>
      <c r="V93" s="10">
        <f t="shared" si="19"/>
        <v>74918061.669999987</v>
      </c>
      <c r="W93" s="10">
        <f t="shared" si="19"/>
        <v>103431682.53</v>
      </c>
      <c r="X93" s="10">
        <f t="shared" si="19"/>
        <v>71550048.36999999</v>
      </c>
      <c r="Y93" s="10">
        <f t="shared" si="19"/>
        <v>139512827.16999999</v>
      </c>
      <c r="Z93" s="10">
        <f>Z8+Z33+Z40+Z47+Z54+Z61+Z68+Z75+Z82+Z89</f>
        <v>116277638.82999998</v>
      </c>
      <c r="AA93" s="20">
        <f>AA8+AA33+AA40+AA47+AA54+AA61+AA68+AA75+AA82+AA89</f>
        <v>136792938.08000001</v>
      </c>
      <c r="AB93" s="20">
        <f>AB8+AB33+AB40+AB47+AB54+AB61+AB68+AB75+AB82+AB89</f>
        <v>43344897.469999999</v>
      </c>
      <c r="AC93" s="20">
        <f>AC8+AC33+AC40+AC47+AC54+AC61+AC68+AC75+AC82+AC89</f>
        <v>211086618.58000001</v>
      </c>
      <c r="AD93" s="20">
        <f>AD8+AD33+AD40+AD47+AD54+AD61+AD68+AD75+AD82+AD89</f>
        <v>119975047.31999999</v>
      </c>
      <c r="AE93" s="10">
        <f t="shared" ref="AE93:AL93" si="20">AE8+AE33+AE40+AE47+AE54+AE61+AE75+AE82</f>
        <v>210062888.64999998</v>
      </c>
      <c r="AF93" s="10">
        <f t="shared" si="20"/>
        <v>99495187.609999999</v>
      </c>
      <c r="AG93" s="10">
        <f t="shared" si="20"/>
        <v>86313931.799999982</v>
      </c>
      <c r="AH93" s="10">
        <f t="shared" si="20"/>
        <v>23141374.309999999</v>
      </c>
      <c r="AI93" s="20">
        <f t="shared" si="20"/>
        <v>128946217.90000001</v>
      </c>
      <c r="AJ93" s="20">
        <f t="shared" si="20"/>
        <v>32163242.649999999</v>
      </c>
      <c r="AK93" s="20">
        <f t="shared" si="20"/>
        <v>14429840.109999999</v>
      </c>
      <c r="AL93" s="20">
        <f t="shared" si="20"/>
        <v>0</v>
      </c>
      <c r="AM93" s="69">
        <f>AM8+AM33+AM40+AM47+AM54+AM61+AM75+AM82+AM15+AM21+AM27</f>
        <v>158833399.05999997</v>
      </c>
      <c r="AN93" s="69">
        <f t="shared" ref="AN93:AP93" si="21">AN8+AN33+AN40+AN47+AN54+AN61+AN75+AN82+AN15+AN21+AN27</f>
        <v>82132363.030000001</v>
      </c>
      <c r="AO93" s="69">
        <f t="shared" si="21"/>
        <v>1155381.6000000001</v>
      </c>
      <c r="AP93" s="69">
        <f t="shared" si="21"/>
        <v>0</v>
      </c>
      <c r="AQ93" s="73">
        <f>AM93/AI93-1</f>
        <v>0.23178020764577978</v>
      </c>
      <c r="AR93" s="73">
        <f>AO93/AK93-1</f>
        <v>-0.91993108785735533</v>
      </c>
    </row>
    <row r="94" spans="1:44" x14ac:dyDescent="0.25">
      <c r="A94" s="109" t="s">
        <v>11</v>
      </c>
      <c r="B94" s="132"/>
      <c r="C94" s="2">
        <f t="shared" ref="C94:AD98" si="22">C10+C35+C42+C49+C56+C63+C70+C77+C84</f>
        <v>0</v>
      </c>
      <c r="D94" s="2">
        <f t="shared" si="22"/>
        <v>0</v>
      </c>
      <c r="E94" s="2">
        <f t="shared" si="22"/>
        <v>17953226.410000004</v>
      </c>
      <c r="F94" s="2">
        <f t="shared" si="22"/>
        <v>6382951.8399999943</v>
      </c>
      <c r="G94" s="2">
        <f t="shared" si="22"/>
        <v>19216097.170000002</v>
      </c>
      <c r="H94" s="2">
        <f t="shared" si="22"/>
        <v>6555841.7200000007</v>
      </c>
      <c r="I94" s="2">
        <f t="shared" si="22"/>
        <v>22865503.460000001</v>
      </c>
      <c r="J94" s="2">
        <f t="shared" si="22"/>
        <v>5864947.9199999999</v>
      </c>
      <c r="K94" s="2">
        <f t="shared" si="22"/>
        <v>17090632.079999998</v>
      </c>
      <c r="L94" s="2">
        <f t="shared" si="22"/>
        <v>5837825.0099999998</v>
      </c>
      <c r="M94" s="2">
        <f t="shared" si="22"/>
        <v>16099291.18</v>
      </c>
      <c r="N94" s="2">
        <f t="shared" si="22"/>
        <v>7784857.7199999997</v>
      </c>
      <c r="O94" s="2">
        <f t="shared" si="22"/>
        <v>16094244.300000001</v>
      </c>
      <c r="P94" s="2">
        <f t="shared" si="22"/>
        <v>7902977.2199999997</v>
      </c>
      <c r="Q94" s="2">
        <f t="shared" si="22"/>
        <v>20791692.359999999</v>
      </c>
      <c r="R94" s="2">
        <f t="shared" si="22"/>
        <v>7175180.9199999999</v>
      </c>
      <c r="S94" s="2">
        <f t="shared" si="22"/>
        <v>20070445.379999999</v>
      </c>
      <c r="T94" s="2">
        <f t="shared" si="22"/>
        <v>6987489.4900000002</v>
      </c>
      <c r="U94" s="2">
        <f t="shared" si="22"/>
        <v>24410984.270000003</v>
      </c>
      <c r="V94" s="2">
        <f t="shared" si="22"/>
        <v>4182653.4699999997</v>
      </c>
      <c r="W94" s="2">
        <f t="shared" si="22"/>
        <v>34358661.780000001</v>
      </c>
      <c r="X94" s="2">
        <f t="shared" si="22"/>
        <v>4756662.17</v>
      </c>
      <c r="Y94" s="2">
        <f t="shared" si="22"/>
        <v>37550191.880000003</v>
      </c>
      <c r="Z94" s="2">
        <f t="shared" si="22"/>
        <v>19969076.690000001</v>
      </c>
      <c r="AA94" s="16">
        <f t="shared" si="22"/>
        <v>78679277.219999999</v>
      </c>
      <c r="AB94" s="16">
        <f t="shared" si="22"/>
        <v>28544503.479999997</v>
      </c>
      <c r="AC94" s="16">
        <f t="shared" si="22"/>
        <v>97897786.019999981</v>
      </c>
      <c r="AD94" s="16">
        <f t="shared" si="22"/>
        <v>50095879.390000001</v>
      </c>
      <c r="AE94" s="23">
        <f t="shared" ref="AE94:AL98" si="23">AE10+AE35+AE42+AE49+AE56+AE63+AE77+AE84</f>
        <v>108565286.30999999</v>
      </c>
      <c r="AF94" s="23">
        <f t="shared" si="23"/>
        <v>66674832.540000007</v>
      </c>
      <c r="AG94" s="23">
        <f t="shared" si="23"/>
        <v>32847516.43</v>
      </c>
      <c r="AH94" s="23">
        <f t="shared" si="23"/>
        <v>21260780.43</v>
      </c>
      <c r="AI94" s="16">
        <f t="shared" si="23"/>
        <v>59026929.369999997</v>
      </c>
      <c r="AJ94" s="16">
        <f t="shared" si="23"/>
        <v>219982.55</v>
      </c>
      <c r="AK94" s="16">
        <f t="shared" si="23"/>
        <v>3777110.1399999997</v>
      </c>
      <c r="AL94" s="16">
        <f t="shared" si="23"/>
        <v>0</v>
      </c>
      <c r="AM94" s="23">
        <f>AM10+AM35+AM42+AM49+AM56+AM63+AM77+AM84+AM16+AM22+AM28</f>
        <v>100360692.07999998</v>
      </c>
      <c r="AN94" s="23">
        <f t="shared" ref="AN94:AP98" si="24">AN10+AN35+AN42+AN49+AN56+AN63+AN77+AN84+AN16+AN22+AN28</f>
        <v>50147868.32</v>
      </c>
      <c r="AO94" s="23">
        <f t="shared" si="24"/>
        <v>723497.6</v>
      </c>
      <c r="AP94" s="23">
        <f t="shared" si="24"/>
        <v>0</v>
      </c>
      <c r="AQ94" s="74"/>
      <c r="AR94" s="74"/>
    </row>
    <row r="95" spans="1:44" x14ac:dyDescent="0.25">
      <c r="A95" s="109" t="s">
        <v>8</v>
      </c>
      <c r="B95" s="132"/>
      <c r="C95" s="2">
        <f t="shared" si="22"/>
        <v>0</v>
      </c>
      <c r="D95" s="2">
        <f t="shared" si="22"/>
        <v>0</v>
      </c>
      <c r="E95" s="2">
        <f t="shared" si="22"/>
        <v>0</v>
      </c>
      <c r="F95" s="2">
        <f t="shared" si="22"/>
        <v>0</v>
      </c>
      <c r="G95" s="2">
        <f t="shared" si="22"/>
        <v>1611249.67</v>
      </c>
      <c r="H95" s="2">
        <f t="shared" si="22"/>
        <v>0</v>
      </c>
      <c r="I95" s="2">
        <f t="shared" si="22"/>
        <v>1404831.87</v>
      </c>
      <c r="J95" s="2">
        <f t="shared" si="22"/>
        <v>0</v>
      </c>
      <c r="K95" s="2">
        <f t="shared" si="22"/>
        <v>2089553.3599999999</v>
      </c>
      <c r="L95" s="2">
        <f t="shared" si="22"/>
        <v>0</v>
      </c>
      <c r="M95" s="2">
        <f t="shared" si="22"/>
        <v>1291836.76</v>
      </c>
      <c r="N95" s="2">
        <f t="shared" si="22"/>
        <v>0</v>
      </c>
      <c r="O95" s="2">
        <f t="shared" si="22"/>
        <v>1343049.24</v>
      </c>
      <c r="P95" s="2">
        <f t="shared" si="22"/>
        <v>0</v>
      </c>
      <c r="Q95" s="2">
        <f t="shared" si="22"/>
        <v>1452525.99</v>
      </c>
      <c r="R95" s="2">
        <f t="shared" si="22"/>
        <v>0</v>
      </c>
      <c r="S95" s="2">
        <f t="shared" si="22"/>
        <v>1242140.78</v>
      </c>
      <c r="T95" s="2">
        <f t="shared" si="22"/>
        <v>0</v>
      </c>
      <c r="U95" s="2">
        <f t="shared" si="22"/>
        <v>1196585.6499999999</v>
      </c>
      <c r="V95" s="2">
        <f t="shared" si="22"/>
        <v>0</v>
      </c>
      <c r="W95" s="2">
        <f t="shared" si="22"/>
        <v>1283435.7</v>
      </c>
      <c r="X95" s="2">
        <f t="shared" si="22"/>
        <v>0</v>
      </c>
      <c r="Y95" s="2">
        <f t="shared" si="22"/>
        <v>0</v>
      </c>
      <c r="Z95" s="2">
        <f t="shared" si="22"/>
        <v>0</v>
      </c>
      <c r="AA95" s="16">
        <f t="shared" si="22"/>
        <v>28007459.789999999</v>
      </c>
      <c r="AB95" s="16">
        <f t="shared" si="22"/>
        <v>0</v>
      </c>
      <c r="AC95" s="16">
        <f t="shared" si="22"/>
        <v>33425614.419999998</v>
      </c>
      <c r="AD95" s="16">
        <f t="shared" si="22"/>
        <v>0</v>
      </c>
      <c r="AE95" s="23">
        <f t="shared" si="23"/>
        <v>33462185.5</v>
      </c>
      <c r="AF95" s="23">
        <f t="shared" si="23"/>
        <v>18386199.240000002</v>
      </c>
      <c r="AG95" s="23">
        <f t="shared" si="23"/>
        <v>0</v>
      </c>
      <c r="AH95" s="23">
        <f t="shared" si="23"/>
        <v>0</v>
      </c>
      <c r="AI95" s="16">
        <f t="shared" si="23"/>
        <v>36363970.560000002</v>
      </c>
      <c r="AJ95" s="16">
        <f t="shared" si="23"/>
        <v>19065790.949999999</v>
      </c>
      <c r="AK95" s="16">
        <f t="shared" si="23"/>
        <v>0</v>
      </c>
      <c r="AL95" s="16">
        <f t="shared" si="23"/>
        <v>0</v>
      </c>
      <c r="AM95" s="23">
        <f>AM11+AM36+AM43+AM50+AM57+AM64+AM78+AM85+AM17+AM23+AM29</f>
        <v>38735574.829999991</v>
      </c>
      <c r="AN95" s="23">
        <f t="shared" si="24"/>
        <v>21571042.330000002</v>
      </c>
      <c r="AO95" s="23">
        <f t="shared" si="24"/>
        <v>0</v>
      </c>
      <c r="AP95" s="23">
        <f t="shared" si="24"/>
        <v>0</v>
      </c>
      <c r="AQ95" s="75"/>
      <c r="AR95" s="75"/>
    </row>
    <row r="96" spans="1:44" x14ac:dyDescent="0.25">
      <c r="A96" s="109" t="s">
        <v>9</v>
      </c>
      <c r="B96" s="132"/>
      <c r="C96" s="2">
        <f t="shared" si="22"/>
        <v>0</v>
      </c>
      <c r="D96" s="2">
        <f t="shared" si="22"/>
        <v>0</v>
      </c>
      <c r="E96" s="2">
        <f t="shared" si="22"/>
        <v>5781112.8999999994</v>
      </c>
      <c r="F96" s="2">
        <f t="shared" si="22"/>
        <v>0</v>
      </c>
      <c r="G96" s="2">
        <f t="shared" si="22"/>
        <v>841993.46</v>
      </c>
      <c r="H96" s="2">
        <f t="shared" si="22"/>
        <v>0</v>
      </c>
      <c r="I96" s="2">
        <f t="shared" si="22"/>
        <v>730672.66</v>
      </c>
      <c r="J96" s="2">
        <f t="shared" si="22"/>
        <v>0</v>
      </c>
      <c r="K96" s="2">
        <f t="shared" si="22"/>
        <v>907890.05999999994</v>
      </c>
      <c r="L96" s="2">
        <f t="shared" si="22"/>
        <v>0</v>
      </c>
      <c r="M96" s="2">
        <f t="shared" si="22"/>
        <v>596611.02</v>
      </c>
      <c r="N96" s="2">
        <f t="shared" si="22"/>
        <v>0</v>
      </c>
      <c r="O96" s="2">
        <f t="shared" si="22"/>
        <v>806056.14</v>
      </c>
      <c r="P96" s="2">
        <f t="shared" si="22"/>
        <v>0</v>
      </c>
      <c r="Q96" s="2">
        <f t="shared" si="22"/>
        <v>910579.46000000008</v>
      </c>
      <c r="R96" s="2">
        <f t="shared" si="22"/>
        <v>0</v>
      </c>
      <c r="S96" s="2">
        <f t="shared" si="22"/>
        <v>832315.84</v>
      </c>
      <c r="T96" s="2">
        <f t="shared" si="22"/>
        <v>0</v>
      </c>
      <c r="U96" s="2">
        <f t="shared" si="22"/>
        <v>786043.03</v>
      </c>
      <c r="V96" s="2">
        <f t="shared" si="22"/>
        <v>0</v>
      </c>
      <c r="W96" s="2">
        <f t="shared" si="22"/>
        <v>782576.37000000011</v>
      </c>
      <c r="X96" s="2">
        <f t="shared" si="22"/>
        <v>0</v>
      </c>
      <c r="Y96" s="2">
        <f t="shared" si="22"/>
        <v>4770499.5100000007</v>
      </c>
      <c r="Z96" s="2">
        <f t="shared" si="22"/>
        <v>0</v>
      </c>
      <c r="AA96" s="16">
        <f t="shared" si="22"/>
        <v>11517101.640000001</v>
      </c>
      <c r="AB96" s="16">
        <f t="shared" si="22"/>
        <v>0</v>
      </c>
      <c r="AC96" s="16">
        <f t="shared" si="22"/>
        <v>17884307.940000001</v>
      </c>
      <c r="AD96" s="16">
        <f t="shared" si="22"/>
        <v>11291466.59</v>
      </c>
      <c r="AE96" s="23">
        <f t="shared" si="23"/>
        <v>26315662.609999999</v>
      </c>
      <c r="AF96" s="23">
        <f t="shared" si="23"/>
        <v>12978010.970000001</v>
      </c>
      <c r="AG96" s="23">
        <f t="shared" si="23"/>
        <v>14772077.07</v>
      </c>
      <c r="AH96" s="23">
        <f t="shared" si="23"/>
        <v>1220473.1199999999</v>
      </c>
      <c r="AI96" s="16">
        <f t="shared" si="23"/>
        <v>19682269.09</v>
      </c>
      <c r="AJ96" s="16">
        <f t="shared" si="23"/>
        <v>9924703.2199999988</v>
      </c>
      <c r="AK96" s="16">
        <f t="shared" si="23"/>
        <v>0</v>
      </c>
      <c r="AL96" s="16">
        <f t="shared" si="23"/>
        <v>0</v>
      </c>
      <c r="AM96" s="23">
        <f>AM12+AM37+AM44+AM51+AM58+AM65+AM79+AM86+AM18+AM24+AM30</f>
        <v>17407378.629999999</v>
      </c>
      <c r="AN96" s="23">
        <f t="shared" si="24"/>
        <v>8557167.8499999996</v>
      </c>
      <c r="AO96" s="23">
        <f t="shared" si="24"/>
        <v>0</v>
      </c>
      <c r="AP96" s="23">
        <f t="shared" si="24"/>
        <v>0</v>
      </c>
      <c r="AQ96" s="75"/>
      <c r="AR96" s="75"/>
    </row>
    <row r="97" spans="1:44" x14ac:dyDescent="0.25">
      <c r="A97" s="109" t="s">
        <v>10</v>
      </c>
      <c r="B97" s="132"/>
      <c r="C97" s="2">
        <f t="shared" ref="C97:Z97" si="25">C13+C38+C45+C52+C59+C66+C73+C80+C87+C90</f>
        <v>0</v>
      </c>
      <c r="D97" s="2">
        <f t="shared" si="25"/>
        <v>0</v>
      </c>
      <c r="E97" s="2">
        <f t="shared" si="25"/>
        <v>60461371.310000002</v>
      </c>
      <c r="F97" s="2">
        <f t="shared" si="25"/>
        <v>58245420.57</v>
      </c>
      <c r="G97" s="2">
        <f t="shared" si="25"/>
        <v>69929562.310000002</v>
      </c>
      <c r="H97" s="2">
        <f t="shared" si="25"/>
        <v>58525671.140000001</v>
      </c>
      <c r="I97" s="2">
        <f t="shared" si="25"/>
        <v>65526882.990000002</v>
      </c>
      <c r="J97" s="2">
        <f t="shared" si="25"/>
        <v>61624312.380000003</v>
      </c>
      <c r="K97" s="2">
        <f t="shared" si="25"/>
        <v>71721506.659999996</v>
      </c>
      <c r="L97" s="2">
        <f t="shared" si="25"/>
        <v>64774384.220000006</v>
      </c>
      <c r="M97" s="2">
        <f t="shared" si="25"/>
        <v>75480113.579999998</v>
      </c>
      <c r="N97" s="2">
        <f t="shared" si="25"/>
        <v>65031804.82</v>
      </c>
      <c r="O97" s="2">
        <f t="shared" si="25"/>
        <v>72791361.200000003</v>
      </c>
      <c r="P97" s="2">
        <f t="shared" si="25"/>
        <v>72572463.200000003</v>
      </c>
      <c r="Q97" s="2">
        <f t="shared" si="25"/>
        <v>72380297.609999999</v>
      </c>
      <c r="R97" s="2">
        <f t="shared" si="25"/>
        <v>65383680.850000001</v>
      </c>
      <c r="S97" s="2">
        <f t="shared" si="25"/>
        <v>72695876.399999991</v>
      </c>
      <c r="T97" s="2">
        <f t="shared" si="25"/>
        <v>65850024.600000001</v>
      </c>
      <c r="U97" s="2">
        <f t="shared" si="25"/>
        <v>69041659.049999997</v>
      </c>
      <c r="V97" s="2">
        <f t="shared" si="25"/>
        <v>68852972.399999991</v>
      </c>
      <c r="W97" s="2">
        <f t="shared" si="25"/>
        <v>65102023.400000006</v>
      </c>
      <c r="X97" s="2">
        <f t="shared" si="25"/>
        <v>64910950.400000006</v>
      </c>
      <c r="Y97" s="2">
        <f t="shared" si="25"/>
        <v>66208215.299999997</v>
      </c>
      <c r="Z97" s="2">
        <f t="shared" si="25"/>
        <v>65394874.099999994</v>
      </c>
      <c r="AA97" s="16">
        <f t="shared" si="22"/>
        <v>14182522.93</v>
      </c>
      <c r="AB97" s="16">
        <f t="shared" si="22"/>
        <v>12430432.640000001</v>
      </c>
      <c r="AC97" s="16">
        <f t="shared" si="22"/>
        <v>21526116.329999998</v>
      </c>
      <c r="AD97" s="16">
        <f t="shared" si="22"/>
        <v>20453326.48</v>
      </c>
      <c r="AE97" s="23">
        <f t="shared" si="23"/>
        <v>8168917.8400000008</v>
      </c>
      <c r="AF97" s="23">
        <f t="shared" si="23"/>
        <v>93556.36</v>
      </c>
      <c r="AG97" s="23">
        <f t="shared" si="23"/>
        <v>7493731.0800000001</v>
      </c>
      <c r="AH97" s="23">
        <f t="shared" si="23"/>
        <v>0</v>
      </c>
      <c r="AI97" s="16">
        <f t="shared" si="23"/>
        <v>6002746.2800000012</v>
      </c>
      <c r="AJ97" s="16">
        <f t="shared" si="23"/>
        <v>92285.57</v>
      </c>
      <c r="AK97" s="16">
        <f t="shared" si="23"/>
        <v>5647572.7300000004</v>
      </c>
      <c r="AL97" s="16">
        <f t="shared" si="23"/>
        <v>0</v>
      </c>
      <c r="AM97" s="23">
        <f>AM13+AM38+AM45+AM52+AM59+AM66+AM80+AM87+AM19+AM25+AM31</f>
        <v>431884</v>
      </c>
      <c r="AN97" s="23">
        <f t="shared" si="24"/>
        <v>0</v>
      </c>
      <c r="AO97" s="23">
        <f t="shared" si="24"/>
        <v>431884</v>
      </c>
      <c r="AP97" s="23">
        <f t="shared" si="24"/>
        <v>0</v>
      </c>
      <c r="AQ97" s="75"/>
      <c r="AR97" s="75"/>
    </row>
    <row r="98" spans="1:44" x14ac:dyDescent="0.25">
      <c r="A98" s="109" t="s">
        <v>16</v>
      </c>
      <c r="B98" s="132"/>
      <c r="C98" s="2">
        <f t="shared" ref="C98:Z98" si="26">C14+C39+C46+C53+C60+C67+C74+C81+C88</f>
        <v>0</v>
      </c>
      <c r="D98" s="2">
        <f t="shared" si="26"/>
        <v>0</v>
      </c>
      <c r="E98" s="2">
        <f t="shared" si="26"/>
        <v>1669019.14</v>
      </c>
      <c r="F98" s="2">
        <f t="shared" si="26"/>
        <v>1882435.7999999998</v>
      </c>
      <c r="G98" s="2">
        <f t="shared" si="26"/>
        <v>1912163.48</v>
      </c>
      <c r="H98" s="2">
        <f t="shared" si="26"/>
        <v>1882435.8</v>
      </c>
      <c r="I98" s="2">
        <f t="shared" si="26"/>
        <v>1912257.9000000001</v>
      </c>
      <c r="J98" s="2">
        <f t="shared" si="26"/>
        <v>1882435.8</v>
      </c>
      <c r="K98" s="2">
        <f t="shared" si="26"/>
        <v>1882435.8</v>
      </c>
      <c r="L98" s="2">
        <f t="shared" si="26"/>
        <v>1882435.8</v>
      </c>
      <c r="M98" s="2">
        <f t="shared" si="26"/>
        <v>1882435.8</v>
      </c>
      <c r="N98" s="2">
        <f t="shared" si="26"/>
        <v>1882435.8</v>
      </c>
      <c r="O98" s="2">
        <f t="shared" si="26"/>
        <v>1918227.3900000001</v>
      </c>
      <c r="P98" s="2">
        <f t="shared" si="26"/>
        <v>1882435.8</v>
      </c>
      <c r="Q98" s="2">
        <f t="shared" si="26"/>
        <v>1914435.79</v>
      </c>
      <c r="R98" s="2">
        <f t="shared" si="26"/>
        <v>1882435.8</v>
      </c>
      <c r="S98" s="2">
        <f t="shared" si="26"/>
        <v>1914497.09</v>
      </c>
      <c r="T98" s="2">
        <f t="shared" si="26"/>
        <v>1882435.8</v>
      </c>
      <c r="U98" s="2">
        <f t="shared" si="26"/>
        <v>1917459.72</v>
      </c>
      <c r="V98" s="2">
        <f t="shared" si="26"/>
        <v>1882435.8</v>
      </c>
      <c r="W98" s="2">
        <f t="shared" si="26"/>
        <v>1904985.28</v>
      </c>
      <c r="X98" s="2">
        <f t="shared" si="26"/>
        <v>1882435.8</v>
      </c>
      <c r="Y98" s="2">
        <f t="shared" si="26"/>
        <v>30983920.480000004</v>
      </c>
      <c r="Z98" s="2">
        <f t="shared" si="26"/>
        <v>30913688.039999999</v>
      </c>
      <c r="AA98" s="16">
        <f t="shared" si="22"/>
        <v>4406576.5</v>
      </c>
      <c r="AB98" s="16">
        <f t="shared" si="22"/>
        <v>2369961.35</v>
      </c>
      <c r="AC98" s="16">
        <f t="shared" si="22"/>
        <v>40352793.869999997</v>
      </c>
      <c r="AD98" s="16">
        <f t="shared" si="22"/>
        <v>38134374.859999999</v>
      </c>
      <c r="AE98" s="23">
        <f t="shared" si="23"/>
        <v>33550836.390000001</v>
      </c>
      <c r="AF98" s="23">
        <f t="shared" si="23"/>
        <v>1362588.5</v>
      </c>
      <c r="AG98" s="23">
        <f t="shared" si="23"/>
        <v>31200607.219999999</v>
      </c>
      <c r="AH98" s="23">
        <f t="shared" si="23"/>
        <v>660120.76</v>
      </c>
      <c r="AI98" s="16">
        <f t="shared" si="23"/>
        <v>7870302.5999999996</v>
      </c>
      <c r="AJ98" s="16">
        <f t="shared" si="23"/>
        <v>2860480.3600000003</v>
      </c>
      <c r="AK98" s="16">
        <f t="shared" si="23"/>
        <v>5005157.24</v>
      </c>
      <c r="AL98" s="16">
        <f t="shared" si="23"/>
        <v>0</v>
      </c>
      <c r="AM98" s="23">
        <f>AM14+AM39+AM46+AM53+AM60+AM67+AM81+AM88+AM20+AM26+AM32</f>
        <v>1897869.52</v>
      </c>
      <c r="AN98" s="23">
        <f t="shared" si="24"/>
        <v>1856284.5299999998</v>
      </c>
      <c r="AO98" s="23">
        <f t="shared" si="24"/>
        <v>0</v>
      </c>
      <c r="AP98" s="23">
        <f t="shared" si="24"/>
        <v>0</v>
      </c>
      <c r="AQ98" s="75"/>
      <c r="AR98" s="75"/>
    </row>
    <row r="99" spans="1:44" x14ac:dyDescent="0.25">
      <c r="A99" s="133" t="s">
        <v>20</v>
      </c>
      <c r="B99" s="132"/>
      <c r="C99" s="3">
        <v>19700824</v>
      </c>
      <c r="D99" s="3"/>
      <c r="E99" s="3">
        <v>30646350</v>
      </c>
      <c r="F99" s="3"/>
      <c r="G99" s="3">
        <v>30646350</v>
      </c>
      <c r="H99" s="3"/>
      <c r="I99" s="3">
        <v>30646350</v>
      </c>
      <c r="J99" s="3"/>
      <c r="K99" s="3">
        <v>30646350</v>
      </c>
      <c r="L99" s="3"/>
      <c r="M99" s="3">
        <v>30646350</v>
      </c>
      <c r="N99" s="3"/>
      <c r="O99" s="3">
        <v>30646350</v>
      </c>
      <c r="P99" s="3"/>
      <c r="Q99" s="3">
        <v>30646350</v>
      </c>
      <c r="R99" s="3"/>
      <c r="S99" s="3">
        <v>39646350</v>
      </c>
      <c r="T99" s="3"/>
      <c r="U99" s="3">
        <v>39646350</v>
      </c>
      <c r="V99" s="3"/>
      <c r="W99" s="3">
        <v>39646350</v>
      </c>
      <c r="X99" s="3"/>
      <c r="Y99" s="3">
        <v>39592849</v>
      </c>
      <c r="Z99" s="3"/>
      <c r="AA99" s="22">
        <v>43884741</v>
      </c>
      <c r="AB99" s="18"/>
      <c r="AC99" s="22">
        <v>38729175</v>
      </c>
      <c r="AD99" s="18"/>
      <c r="AE99" s="3">
        <v>15529000</v>
      </c>
      <c r="AF99" s="18"/>
      <c r="AG99" s="18"/>
      <c r="AH99" s="18"/>
      <c r="AI99" s="22">
        <v>1250000</v>
      </c>
      <c r="AJ99" s="22"/>
      <c r="AK99" s="22"/>
      <c r="AL99" s="22"/>
      <c r="AM99" s="3">
        <v>0</v>
      </c>
      <c r="AN99" s="3"/>
      <c r="AO99" s="3"/>
      <c r="AP99" s="3"/>
      <c r="AQ99" s="75"/>
      <c r="AR99" s="75"/>
    </row>
    <row r="100" spans="1:44" x14ac:dyDescent="0.25">
      <c r="A100" s="133" t="s">
        <v>21</v>
      </c>
      <c r="B100" s="132"/>
      <c r="C100" s="3">
        <f t="shared" ref="C100:AA100" si="27">C93+C99</f>
        <v>114288501.81999999</v>
      </c>
      <c r="D100" s="3">
        <f t="shared" si="27"/>
        <v>68008770.719999999</v>
      </c>
      <c r="E100" s="3">
        <f t="shared" si="27"/>
        <v>116511079.75999999</v>
      </c>
      <c r="F100" s="3">
        <f t="shared" si="27"/>
        <v>66510808.209999993</v>
      </c>
      <c r="G100" s="3">
        <f t="shared" si="27"/>
        <v>124157416.09000002</v>
      </c>
      <c r="H100" s="3">
        <f t="shared" si="27"/>
        <v>66963948.660000004</v>
      </c>
      <c r="I100" s="3">
        <f t="shared" si="27"/>
        <v>123086498.88000001</v>
      </c>
      <c r="J100" s="3">
        <f t="shared" si="27"/>
        <v>69371696.100000009</v>
      </c>
      <c r="K100" s="3">
        <f t="shared" si="27"/>
        <v>124338367.95999999</v>
      </c>
      <c r="L100" s="3">
        <f t="shared" si="27"/>
        <v>72494645.030000001</v>
      </c>
      <c r="M100" s="3">
        <f t="shared" si="27"/>
        <v>125996638.34</v>
      </c>
      <c r="N100" s="3">
        <f t="shared" si="27"/>
        <v>74699098.340000004</v>
      </c>
      <c r="O100" s="3">
        <f t="shared" si="27"/>
        <v>123599288.27</v>
      </c>
      <c r="P100" s="3">
        <f t="shared" si="27"/>
        <v>82357876.220000014</v>
      </c>
      <c r="Q100" s="3">
        <f t="shared" si="27"/>
        <v>128095881.20999998</v>
      </c>
      <c r="R100" s="3">
        <f t="shared" si="27"/>
        <v>74441297.569999993</v>
      </c>
      <c r="S100" s="3">
        <f t="shared" si="27"/>
        <v>136401625.49000001</v>
      </c>
      <c r="T100" s="3">
        <f t="shared" si="27"/>
        <v>74719949.890000001</v>
      </c>
      <c r="U100" s="3">
        <f t="shared" si="27"/>
        <v>136999081.71999997</v>
      </c>
      <c r="V100" s="3">
        <f t="shared" si="27"/>
        <v>74918061.669999987</v>
      </c>
      <c r="W100" s="3">
        <f t="shared" si="27"/>
        <v>143078032.53</v>
      </c>
      <c r="X100" s="3">
        <f t="shared" si="27"/>
        <v>71550048.36999999</v>
      </c>
      <c r="Y100" s="3">
        <f t="shared" si="27"/>
        <v>179105676.16999999</v>
      </c>
      <c r="Z100" s="3">
        <f t="shared" si="27"/>
        <v>116277638.82999998</v>
      </c>
      <c r="AA100" s="22">
        <f t="shared" si="27"/>
        <v>180677679.08000001</v>
      </c>
      <c r="AB100" s="22">
        <f>AB93+AB99</f>
        <v>43344897.469999999</v>
      </c>
      <c r="AC100" s="22">
        <f t="shared" ref="AC100:AP100" si="28">AC93+AC99</f>
        <v>249815793.58000001</v>
      </c>
      <c r="AD100" s="22">
        <f t="shared" si="28"/>
        <v>119975047.31999999</v>
      </c>
      <c r="AE100" s="3">
        <f t="shared" si="28"/>
        <v>225591888.64999998</v>
      </c>
      <c r="AF100" s="3">
        <f t="shared" si="28"/>
        <v>99495187.609999999</v>
      </c>
      <c r="AG100" s="3">
        <f t="shared" si="28"/>
        <v>86313931.799999982</v>
      </c>
      <c r="AH100" s="3">
        <f t="shared" si="28"/>
        <v>23141374.309999999</v>
      </c>
      <c r="AI100" s="22">
        <f t="shared" si="28"/>
        <v>130196217.90000001</v>
      </c>
      <c r="AJ100" s="22">
        <f t="shared" si="28"/>
        <v>32163242.649999999</v>
      </c>
      <c r="AK100" s="22">
        <f t="shared" si="28"/>
        <v>14429840.109999999</v>
      </c>
      <c r="AL100" s="22">
        <f t="shared" si="28"/>
        <v>0</v>
      </c>
      <c r="AM100" s="3">
        <f t="shared" si="28"/>
        <v>158833399.05999997</v>
      </c>
      <c r="AN100" s="3">
        <f t="shared" si="28"/>
        <v>82132363.030000001</v>
      </c>
      <c r="AO100" s="3">
        <f t="shared" si="28"/>
        <v>1155381.6000000001</v>
      </c>
      <c r="AP100" s="3">
        <f t="shared" si="28"/>
        <v>0</v>
      </c>
      <c r="AQ100" s="74">
        <f>AM100/AI100-1</f>
        <v>0.21995401726642605</v>
      </c>
      <c r="AR100" s="74">
        <f>AO100/AK100-1</f>
        <v>-0.91993108785735533</v>
      </c>
    </row>
    <row r="101" spans="1:44" x14ac:dyDescent="0.25">
      <c r="A101" s="109" t="s">
        <v>22</v>
      </c>
      <c r="B101" s="13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x14ac:dyDescent="0.25">
      <c r="A102" s="109" t="s">
        <v>27</v>
      </c>
      <c r="B102" s="132"/>
      <c r="C102" s="4">
        <v>102575991</v>
      </c>
      <c r="D102" s="4">
        <v>63430848.460000001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x14ac:dyDescent="0.25">
      <c r="A103" s="109" t="s">
        <v>26</v>
      </c>
      <c r="B103" s="132"/>
      <c r="C103" s="4">
        <f>C100-C102</f>
        <v>11712510.819999993</v>
      </c>
      <c r="D103" s="4">
        <f>D100-D102</f>
        <v>4577922.2599999979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x14ac:dyDescent="0.25">
      <c r="A104" s="109" t="s">
        <v>40</v>
      </c>
      <c r="B104" s="13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1">
        <v>2369961.35</v>
      </c>
      <c r="AB104" s="21">
        <v>2369961.35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x14ac:dyDescent="0.25">
      <c r="AM105" s="48"/>
      <c r="AN105" s="48"/>
      <c r="AO105" s="48"/>
      <c r="AP105" s="48"/>
      <c r="AQ105" s="48"/>
      <c r="AR105" s="48"/>
    </row>
    <row r="106" spans="1:44" x14ac:dyDescent="0.25">
      <c r="AM106" s="48"/>
      <c r="AN106" s="48"/>
      <c r="AO106" s="48"/>
      <c r="AP106" s="48"/>
      <c r="AQ106" s="48"/>
      <c r="AR106" s="48"/>
    </row>
    <row r="107" spans="1:44" x14ac:dyDescent="0.25">
      <c r="AM107" s="48"/>
      <c r="AN107" s="48"/>
      <c r="AO107" s="48"/>
      <c r="AP107" s="48"/>
      <c r="AQ107" s="48"/>
      <c r="AR107" s="48"/>
    </row>
    <row r="108" spans="1:44" x14ac:dyDescent="0.25">
      <c r="AM108" s="48"/>
      <c r="AN108" s="48"/>
      <c r="AO108" s="48"/>
      <c r="AP108" s="48"/>
      <c r="AQ108" s="48"/>
      <c r="AR108" s="48"/>
    </row>
    <row r="109" spans="1:44" x14ac:dyDescent="0.25">
      <c r="AM109" s="48"/>
      <c r="AN109" s="48"/>
      <c r="AO109" s="48"/>
      <c r="AP109" s="48"/>
      <c r="AQ109" s="48"/>
      <c r="AR109" s="48"/>
    </row>
    <row r="110" spans="1:44" x14ac:dyDescent="0.25">
      <c r="AM110" s="48"/>
      <c r="AN110" s="48"/>
      <c r="AO110" s="48"/>
      <c r="AP110" s="48"/>
      <c r="AQ110" s="48"/>
      <c r="AR110" s="48"/>
    </row>
    <row r="111" spans="1:44" x14ac:dyDescent="0.25">
      <c r="AM111" s="48"/>
      <c r="AN111" s="48"/>
      <c r="AO111" s="48"/>
      <c r="AP111" s="48"/>
      <c r="AQ111" s="48"/>
      <c r="AR111" s="48"/>
    </row>
    <row r="112" spans="1:44" x14ac:dyDescent="0.25">
      <c r="AM112" s="48"/>
      <c r="AN112" s="48"/>
      <c r="AO112" s="48"/>
      <c r="AP112" s="48"/>
      <c r="AQ112" s="48"/>
      <c r="AR112" s="48"/>
    </row>
    <row r="113" spans="39:44" x14ac:dyDescent="0.25">
      <c r="AM113" s="48"/>
      <c r="AN113" s="48"/>
      <c r="AO113" s="48"/>
      <c r="AP113" s="48"/>
      <c r="AQ113" s="48"/>
      <c r="AR113" s="48"/>
    </row>
    <row r="114" spans="39:44" x14ac:dyDescent="0.25">
      <c r="AM114" s="48"/>
      <c r="AN114" s="48"/>
      <c r="AO114" s="48"/>
      <c r="AP114" s="48"/>
      <c r="AQ114" s="48"/>
      <c r="AR114" s="48"/>
    </row>
  </sheetData>
  <mergeCells count="470"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Q89:AQ90"/>
    <mergeCell ref="AR89:AR90"/>
    <mergeCell ref="A90:B90"/>
    <mergeCell ref="A91:B91"/>
    <mergeCell ref="AP82:AP83"/>
    <mergeCell ref="AQ82:AQ83"/>
    <mergeCell ref="AR82:AR83"/>
    <mergeCell ref="A84:B84"/>
    <mergeCell ref="A85:B85"/>
    <mergeCell ref="A86:B86"/>
    <mergeCell ref="AJ82:AJ83"/>
    <mergeCell ref="AK82:AK83"/>
    <mergeCell ref="AL82:AL83"/>
    <mergeCell ref="AM82:AM83"/>
    <mergeCell ref="AN82:AN83"/>
    <mergeCell ref="AO82:AO83"/>
    <mergeCell ref="AD82:AD83"/>
    <mergeCell ref="AE82:AE83"/>
    <mergeCell ref="AF82:AF83"/>
    <mergeCell ref="AG82:AG83"/>
    <mergeCell ref="AH82:AH83"/>
    <mergeCell ref="AI82:AI83"/>
    <mergeCell ref="X82:X83"/>
    <mergeCell ref="Y82:Y83"/>
    <mergeCell ref="Z82:Z83"/>
    <mergeCell ref="AA82:AA83"/>
    <mergeCell ref="AB82:AB83"/>
    <mergeCell ref="AC82:AC83"/>
    <mergeCell ref="R82:R83"/>
    <mergeCell ref="S82:S83"/>
    <mergeCell ref="T82:T83"/>
    <mergeCell ref="U82:U83"/>
    <mergeCell ref="V82:V83"/>
    <mergeCell ref="W82:W83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A80:B80"/>
    <mergeCell ref="A81:B81"/>
    <mergeCell ref="A82:B83"/>
    <mergeCell ref="C82:C83"/>
    <mergeCell ref="D82:D83"/>
    <mergeCell ref="E82:E83"/>
    <mergeCell ref="AP75:AP76"/>
    <mergeCell ref="AQ75:AQ76"/>
    <mergeCell ref="AR75:AR76"/>
    <mergeCell ref="A77:B77"/>
    <mergeCell ref="A78:B78"/>
    <mergeCell ref="A79:B79"/>
    <mergeCell ref="AJ75:AJ76"/>
    <mergeCell ref="AK75:AK76"/>
    <mergeCell ref="AL75:AL76"/>
    <mergeCell ref="AM75:AM76"/>
    <mergeCell ref="AN75:AN76"/>
    <mergeCell ref="AO75:AO76"/>
    <mergeCell ref="AD75:AD76"/>
    <mergeCell ref="AE75:AE76"/>
    <mergeCell ref="AF75:AF76"/>
    <mergeCell ref="AG75:AG76"/>
    <mergeCell ref="AH75:AH76"/>
    <mergeCell ref="AI75:AI76"/>
    <mergeCell ref="X75:X76"/>
    <mergeCell ref="Y75:Y76"/>
    <mergeCell ref="Z75:Z76"/>
    <mergeCell ref="AA75:AA76"/>
    <mergeCell ref="AB75:AB76"/>
    <mergeCell ref="AC75:AC76"/>
    <mergeCell ref="R75:R76"/>
    <mergeCell ref="S75:S76"/>
    <mergeCell ref="T75:T76"/>
    <mergeCell ref="U75:U76"/>
    <mergeCell ref="V75:V76"/>
    <mergeCell ref="W75:W76"/>
    <mergeCell ref="L75:L76"/>
    <mergeCell ref="M75:M76"/>
    <mergeCell ref="N75:N76"/>
    <mergeCell ref="O75:O76"/>
    <mergeCell ref="P75:P76"/>
    <mergeCell ref="Q75:Q76"/>
    <mergeCell ref="F75:F76"/>
    <mergeCell ref="G75:G76"/>
    <mergeCell ref="H75:H76"/>
    <mergeCell ref="I75:I76"/>
    <mergeCell ref="J75:J76"/>
    <mergeCell ref="K75:K76"/>
    <mergeCell ref="A73:B73"/>
    <mergeCell ref="A74:B74"/>
    <mergeCell ref="A75:B76"/>
    <mergeCell ref="C75:C76"/>
    <mergeCell ref="D75:D76"/>
    <mergeCell ref="E75:E76"/>
    <mergeCell ref="Z68:Z69"/>
    <mergeCell ref="AQ68:AQ69"/>
    <mergeCell ref="AR68:AR69"/>
    <mergeCell ref="A70:B70"/>
    <mergeCell ref="A71:B71"/>
    <mergeCell ref="A72:B72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B69"/>
    <mergeCell ref="C68:C69"/>
    <mergeCell ref="D68:D69"/>
    <mergeCell ref="E68:E69"/>
    <mergeCell ref="F68:F69"/>
    <mergeCell ref="G68:G69"/>
    <mergeCell ref="AR61:AR62"/>
    <mergeCell ref="A63:B63"/>
    <mergeCell ref="A64:B64"/>
    <mergeCell ref="A65:B65"/>
    <mergeCell ref="A66:B66"/>
    <mergeCell ref="A67:B67"/>
    <mergeCell ref="AL61:AL62"/>
    <mergeCell ref="AM61:AM62"/>
    <mergeCell ref="AN61:AN62"/>
    <mergeCell ref="AO61:AO62"/>
    <mergeCell ref="AP61:AP62"/>
    <mergeCell ref="AQ61:AQ62"/>
    <mergeCell ref="AF61:AF62"/>
    <mergeCell ref="AG61:AG62"/>
    <mergeCell ref="AH61:AH62"/>
    <mergeCell ref="AI61:AI62"/>
    <mergeCell ref="AJ61:AJ62"/>
    <mergeCell ref="AK61:AK62"/>
    <mergeCell ref="Z61:Z62"/>
    <mergeCell ref="AA61:AA62"/>
    <mergeCell ref="AB61:AB62"/>
    <mergeCell ref="AC61:AC62"/>
    <mergeCell ref="AD61:AD62"/>
    <mergeCell ref="AE61:AE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H61:H62"/>
    <mergeCell ref="I61:I62"/>
    <mergeCell ref="J61:J62"/>
    <mergeCell ref="K61:K62"/>
    <mergeCell ref="L61:L62"/>
    <mergeCell ref="M61:M62"/>
    <mergeCell ref="A61:B62"/>
    <mergeCell ref="C61:C62"/>
    <mergeCell ref="D61:D62"/>
    <mergeCell ref="E61:E62"/>
    <mergeCell ref="F61:F62"/>
    <mergeCell ref="G61:G62"/>
    <mergeCell ref="AR54:AR55"/>
    <mergeCell ref="A56:B56"/>
    <mergeCell ref="A57:B57"/>
    <mergeCell ref="A58:B58"/>
    <mergeCell ref="A59:B59"/>
    <mergeCell ref="A60:B60"/>
    <mergeCell ref="AL54:AL55"/>
    <mergeCell ref="AM54:AM55"/>
    <mergeCell ref="AN54:AN55"/>
    <mergeCell ref="AO54:AO55"/>
    <mergeCell ref="AP54:AP55"/>
    <mergeCell ref="AQ54:AQ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B55"/>
    <mergeCell ref="C54:C55"/>
    <mergeCell ref="D54:D55"/>
    <mergeCell ref="E54:E55"/>
    <mergeCell ref="F54:F55"/>
    <mergeCell ref="G54:G55"/>
    <mergeCell ref="AR47:AR48"/>
    <mergeCell ref="A49:B49"/>
    <mergeCell ref="A50:B50"/>
    <mergeCell ref="A51:B51"/>
    <mergeCell ref="A52:B52"/>
    <mergeCell ref="A53:B53"/>
    <mergeCell ref="AL47:AL48"/>
    <mergeCell ref="AM47:AM48"/>
    <mergeCell ref="AN47:AN48"/>
    <mergeCell ref="AO47:AO48"/>
    <mergeCell ref="AP47:AP48"/>
    <mergeCell ref="AQ47:AQ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AR40:AR41"/>
    <mergeCell ref="A42:B42"/>
    <mergeCell ref="A43:B43"/>
    <mergeCell ref="A44:B44"/>
    <mergeCell ref="A45:B45"/>
    <mergeCell ref="A46:B46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A40:B41"/>
    <mergeCell ref="C40:C41"/>
    <mergeCell ref="D40:D41"/>
    <mergeCell ref="E40:E41"/>
    <mergeCell ref="F40:F41"/>
    <mergeCell ref="G40:G41"/>
    <mergeCell ref="AR33:AR34"/>
    <mergeCell ref="A35:B35"/>
    <mergeCell ref="A36:B36"/>
    <mergeCell ref="A37:B37"/>
    <mergeCell ref="A38:B38"/>
    <mergeCell ref="A39:B39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R8:AR9"/>
    <mergeCell ref="A10:B10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A8:B9"/>
    <mergeCell ref="C8:C9"/>
    <mergeCell ref="D8:D9"/>
    <mergeCell ref="E8:E9"/>
    <mergeCell ref="F8:F9"/>
    <mergeCell ref="G8:G9"/>
    <mergeCell ref="S5:T6"/>
    <mergeCell ref="U5:V6"/>
    <mergeCell ref="W5:X6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E5:AH6"/>
    <mergeCell ref="AI5:AL6"/>
    <mergeCell ref="AM5:AP6"/>
    <mergeCell ref="AQ5:AR6"/>
    <mergeCell ref="Y5:Z6"/>
    <mergeCell ref="AA5:AB6"/>
    <mergeCell ref="AC5:AD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U114"/>
  <sheetViews>
    <sheetView tabSelected="1" topLeftCell="A4" workbookViewId="0">
      <selection activeCell="AK113" sqref="AK113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38" width="14" customWidth="1"/>
    <col min="39" max="39" width="16" customWidth="1"/>
    <col min="40" max="42" width="14" customWidth="1"/>
    <col min="44" max="44" width="9.42578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43831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24" t="s">
        <v>6</v>
      </c>
      <c r="AR7" s="24" t="s">
        <v>14</v>
      </c>
    </row>
    <row r="8" spans="1:44" x14ac:dyDescent="0.25">
      <c r="A8" s="103" t="s">
        <v>51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8750479.9399999995</v>
      </c>
      <c r="AN8" s="120">
        <f>AN10+AN11+AN12+AN13+AN14</f>
        <v>23845.269999999997</v>
      </c>
      <c r="AO8" s="120">
        <f>AO10+AO11+AO12+AO13+AO14</f>
        <v>571235</v>
      </c>
      <c r="AP8" s="120">
        <f>AP10+AP11+AP12+AP13+AP14</f>
        <v>571235</v>
      </c>
      <c r="AQ8" s="116">
        <f>AM8/AI8-1</f>
        <v>-0.79329778382179605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42.75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f>7760580.92-6672685.6</f>
        <v>1087895.3200000003</v>
      </c>
      <c r="AN10" s="19">
        <v>18905.939999999999</v>
      </c>
      <c r="AO10" s="19">
        <v>571235</v>
      </c>
      <c r="AP10" s="19">
        <v>571235</v>
      </c>
      <c r="AQ10" s="34"/>
      <c r="AR10" s="34"/>
    </row>
    <row r="11" spans="1:44" ht="15" customHeight="1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v>662186.56000000006</v>
      </c>
      <c r="AN11" s="19"/>
      <c r="AO11" s="19"/>
      <c r="AP11" s="19"/>
      <c r="AQ11" s="34"/>
      <c r="AR11" s="34"/>
    </row>
    <row r="12" spans="1:44" ht="46.5" customHeight="1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>
        <v>327712.46000000002</v>
      </c>
      <c r="AN12" s="19">
        <v>4939.33</v>
      </c>
      <c r="AO12" s="19"/>
      <c r="AP12" s="19"/>
      <c r="AQ12" s="34"/>
      <c r="AR12" s="34"/>
    </row>
    <row r="13" spans="1:44" ht="15.75" customHeight="1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/>
      <c r="AN13" s="19"/>
      <c r="AO13" s="19"/>
      <c r="AP13" s="19"/>
      <c r="AQ13" s="34"/>
      <c r="AR13" s="34"/>
    </row>
    <row r="14" spans="1:44" ht="30" customHeight="1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>
        <v>6672685.5999999996</v>
      </c>
      <c r="AN14" s="19"/>
      <c r="AO14" s="19"/>
      <c r="AP14" s="19"/>
      <c r="AQ14" s="34"/>
      <c r="AR14" s="34"/>
    </row>
    <row r="15" spans="1:44" x14ac:dyDescent="0.25">
      <c r="A15" s="136" t="s">
        <v>48</v>
      </c>
      <c r="B15" s="13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1"/>
      <c r="AD15" s="51"/>
      <c r="AE15" s="50"/>
      <c r="AF15" s="50"/>
      <c r="AG15" s="50"/>
      <c r="AH15" s="50"/>
      <c r="AI15" s="51"/>
      <c r="AJ15" s="51"/>
      <c r="AK15" s="51"/>
      <c r="AL15" s="51"/>
      <c r="AM15" s="76">
        <f>AM16+AM17+AM18+AM19+AM20</f>
        <v>26697082.129999999</v>
      </c>
      <c r="AN15" s="76">
        <f>AN16+AN17+AN18+AN19+AN20</f>
        <v>0</v>
      </c>
      <c r="AO15" s="76">
        <f t="shared" ref="AO15:AP15" si="1">AO16+AO17+AO18+AO19+AO20</f>
        <v>0</v>
      </c>
      <c r="AP15" s="76">
        <f t="shared" si="1"/>
        <v>0</v>
      </c>
      <c r="AQ15" s="55"/>
      <c r="AR15" s="55"/>
    </row>
    <row r="16" spans="1:44" ht="44.25" customHeight="1" x14ac:dyDescent="0.25">
      <c r="A16" s="109" t="s">
        <v>11</v>
      </c>
      <c r="B16" s="11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1"/>
      <c r="AD16" s="51"/>
      <c r="AE16" s="50"/>
      <c r="AF16" s="50"/>
      <c r="AG16" s="50"/>
      <c r="AH16" s="50"/>
      <c r="AI16" s="51"/>
      <c r="AJ16" s="51"/>
      <c r="AK16" s="51"/>
      <c r="AL16" s="51"/>
      <c r="AM16" s="51">
        <f>25203858.74+194052.76</f>
        <v>25397911.5</v>
      </c>
      <c r="AN16" s="51">
        <v>0</v>
      </c>
      <c r="AO16" s="51"/>
      <c r="AP16" s="51"/>
      <c r="AQ16" s="55"/>
      <c r="AR16" s="55"/>
    </row>
    <row r="17" spans="1:44" x14ac:dyDescent="0.25">
      <c r="A17" s="109" t="s">
        <v>8</v>
      </c>
      <c r="B17" s="11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1"/>
      <c r="AD17" s="51"/>
      <c r="AE17" s="50"/>
      <c r="AF17" s="50"/>
      <c r="AG17" s="50"/>
      <c r="AH17" s="50"/>
      <c r="AI17" s="51"/>
      <c r="AJ17" s="51"/>
      <c r="AK17" s="51"/>
      <c r="AL17" s="51"/>
      <c r="AM17" s="51">
        <v>1250280.08</v>
      </c>
      <c r="AN17" s="51"/>
      <c r="AO17" s="51"/>
      <c r="AP17" s="51"/>
      <c r="AQ17" s="55"/>
      <c r="AR17" s="55"/>
    </row>
    <row r="18" spans="1:44" ht="45.75" customHeight="1" x14ac:dyDescent="0.25">
      <c r="A18" s="109" t="s">
        <v>9</v>
      </c>
      <c r="B18" s="11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1"/>
      <c r="AD18" s="51"/>
      <c r="AE18" s="50"/>
      <c r="AF18" s="50"/>
      <c r="AG18" s="50"/>
      <c r="AH18" s="50"/>
      <c r="AI18" s="51"/>
      <c r="AJ18" s="51"/>
      <c r="AK18" s="51"/>
      <c r="AL18" s="51"/>
      <c r="AM18" s="51">
        <v>48890.55</v>
      </c>
      <c r="AN18" s="51"/>
      <c r="AO18" s="51"/>
      <c r="AP18" s="51"/>
      <c r="AQ18" s="55"/>
      <c r="AR18" s="55"/>
    </row>
    <row r="19" spans="1:44" x14ac:dyDescent="0.25">
      <c r="A19" s="109" t="s">
        <v>10</v>
      </c>
      <c r="B19" s="11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1"/>
      <c r="AD19" s="51"/>
      <c r="AE19" s="50"/>
      <c r="AF19" s="50"/>
      <c r="AG19" s="50"/>
      <c r="AH19" s="50"/>
      <c r="AI19" s="51"/>
      <c r="AJ19" s="51"/>
      <c r="AK19" s="51"/>
      <c r="AL19" s="51"/>
      <c r="AM19" s="51"/>
      <c r="AN19" s="51"/>
      <c r="AO19" s="51"/>
      <c r="AP19" s="51"/>
      <c r="AQ19" s="55"/>
      <c r="AR19" s="55"/>
    </row>
    <row r="20" spans="1:44" ht="30.75" customHeight="1" x14ac:dyDescent="0.25">
      <c r="A20" s="109" t="s">
        <v>16</v>
      </c>
      <c r="B20" s="1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1"/>
      <c r="AD20" s="51"/>
      <c r="AE20" s="50"/>
      <c r="AF20" s="50"/>
      <c r="AG20" s="50"/>
      <c r="AH20" s="50"/>
      <c r="AI20" s="51"/>
      <c r="AJ20" s="51"/>
      <c r="AK20" s="51"/>
      <c r="AL20" s="51"/>
      <c r="AM20" s="51"/>
      <c r="AN20" s="51"/>
      <c r="AO20" s="51"/>
      <c r="AP20" s="51"/>
      <c r="AQ20" s="55"/>
      <c r="AR20" s="55"/>
    </row>
    <row r="21" spans="1:44" x14ac:dyDescent="0.25">
      <c r="A21" s="136" t="s">
        <v>49</v>
      </c>
      <c r="B21" s="13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1"/>
      <c r="AD21" s="51"/>
      <c r="AE21" s="50"/>
      <c r="AF21" s="50"/>
      <c r="AG21" s="50"/>
      <c r="AH21" s="50"/>
      <c r="AI21" s="51"/>
      <c r="AJ21" s="51"/>
      <c r="AK21" s="51"/>
      <c r="AL21" s="51"/>
      <c r="AM21" s="76">
        <f>AM22+AM23+AM24+AM25+AM26</f>
        <v>6637461.5299999993</v>
      </c>
      <c r="AN21" s="76">
        <f t="shared" ref="AN21:AP21" si="2">AN22+AN23+AN24+AN25+AN26</f>
        <v>0</v>
      </c>
      <c r="AO21" s="76">
        <v>0</v>
      </c>
      <c r="AP21" s="76">
        <f t="shared" si="2"/>
        <v>0</v>
      </c>
      <c r="AQ21" s="55"/>
      <c r="AR21" s="55"/>
    </row>
    <row r="22" spans="1:44" ht="45" customHeight="1" x14ac:dyDescent="0.25">
      <c r="A22" s="109" t="s">
        <v>11</v>
      </c>
      <c r="B22" s="11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1"/>
      <c r="AD22" s="51"/>
      <c r="AE22" s="50"/>
      <c r="AF22" s="50"/>
      <c r="AG22" s="50"/>
      <c r="AH22" s="50"/>
      <c r="AI22" s="51"/>
      <c r="AJ22" s="51"/>
      <c r="AK22" s="51"/>
      <c r="AL22" s="51"/>
      <c r="AM22" s="51">
        <v>6054851.5499999998</v>
      </c>
      <c r="AN22" s="51"/>
      <c r="AO22" s="51">
        <v>0</v>
      </c>
      <c r="AP22" s="51"/>
      <c r="AQ22" s="55"/>
      <c r="AR22" s="55"/>
    </row>
    <row r="23" spans="1:44" x14ac:dyDescent="0.25">
      <c r="A23" s="109" t="s">
        <v>8</v>
      </c>
      <c r="B23" s="11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1"/>
      <c r="AD23" s="51"/>
      <c r="AE23" s="50"/>
      <c r="AF23" s="50"/>
      <c r="AG23" s="50"/>
      <c r="AH23" s="50"/>
      <c r="AI23" s="51"/>
      <c r="AJ23" s="51"/>
      <c r="AK23" s="51"/>
      <c r="AL23" s="51"/>
      <c r="AM23" s="51">
        <v>433698.23</v>
      </c>
      <c r="AN23" s="51"/>
      <c r="AO23" s="51"/>
      <c r="AP23" s="51"/>
      <c r="AQ23" s="55"/>
      <c r="AR23" s="55"/>
    </row>
    <row r="24" spans="1:44" ht="44.25" customHeight="1" x14ac:dyDescent="0.25">
      <c r="A24" s="109" t="s">
        <v>9</v>
      </c>
      <c r="B24" s="11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1"/>
      <c r="AD24" s="51"/>
      <c r="AE24" s="50"/>
      <c r="AF24" s="50"/>
      <c r="AG24" s="50"/>
      <c r="AH24" s="50"/>
      <c r="AI24" s="51"/>
      <c r="AJ24" s="51"/>
      <c r="AK24" s="51"/>
      <c r="AL24" s="51"/>
      <c r="AM24" s="51">
        <v>148911.75</v>
      </c>
      <c r="AN24" s="51"/>
      <c r="AO24" s="51"/>
      <c r="AP24" s="51"/>
      <c r="AQ24" s="55"/>
      <c r="AR24" s="55"/>
    </row>
    <row r="25" spans="1:44" x14ac:dyDescent="0.25">
      <c r="A25" s="109" t="s">
        <v>10</v>
      </c>
      <c r="B25" s="1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1"/>
      <c r="AD25" s="51"/>
      <c r="AE25" s="50"/>
      <c r="AF25" s="50"/>
      <c r="AG25" s="50"/>
      <c r="AH25" s="50"/>
      <c r="AI25" s="51"/>
      <c r="AJ25" s="51"/>
      <c r="AK25" s="51"/>
      <c r="AL25" s="51"/>
      <c r="AM25" s="51"/>
      <c r="AN25" s="51"/>
      <c r="AO25" s="51"/>
      <c r="AP25" s="51"/>
      <c r="AQ25" s="55"/>
      <c r="AR25" s="55"/>
    </row>
    <row r="26" spans="1:44" ht="30.75" customHeight="1" x14ac:dyDescent="0.25">
      <c r="A26" s="109" t="s">
        <v>16</v>
      </c>
      <c r="B26" s="1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1"/>
      <c r="AD26" s="51"/>
      <c r="AE26" s="50"/>
      <c r="AF26" s="50"/>
      <c r="AG26" s="50"/>
      <c r="AH26" s="50"/>
      <c r="AI26" s="51"/>
      <c r="AJ26" s="51"/>
      <c r="AK26" s="51"/>
      <c r="AL26" s="51"/>
      <c r="AM26" s="51"/>
      <c r="AN26" s="51"/>
      <c r="AO26" s="51"/>
      <c r="AP26" s="51"/>
      <c r="AQ26" s="55"/>
      <c r="AR26" s="55"/>
    </row>
    <row r="27" spans="1:44" x14ac:dyDescent="0.25">
      <c r="A27" s="136" t="s">
        <v>50</v>
      </c>
      <c r="B27" s="1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1"/>
      <c r="AD27" s="51"/>
      <c r="AE27" s="50"/>
      <c r="AF27" s="50"/>
      <c r="AG27" s="50"/>
      <c r="AH27" s="50"/>
      <c r="AI27" s="51"/>
      <c r="AJ27" s="51"/>
      <c r="AK27" s="51"/>
      <c r="AL27" s="51"/>
      <c r="AM27" s="76">
        <f>AM28+AM29+AM30+AM31+AM32</f>
        <v>397801.93</v>
      </c>
      <c r="AN27" s="76">
        <f t="shared" ref="AN27:AP27" si="3">AN28+AN29+AN30+AN31+AN32</f>
        <v>0</v>
      </c>
      <c r="AO27" s="76">
        <f t="shared" si="3"/>
        <v>0</v>
      </c>
      <c r="AP27" s="76">
        <f t="shared" si="3"/>
        <v>0</v>
      </c>
      <c r="AQ27" s="55"/>
      <c r="AR27" s="55"/>
    </row>
    <row r="28" spans="1:44" ht="44.25" customHeight="1" x14ac:dyDescent="0.25">
      <c r="A28" s="109" t="s">
        <v>11</v>
      </c>
      <c r="B28" s="1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1"/>
      <c r="AD28" s="51"/>
      <c r="AE28" s="50"/>
      <c r="AF28" s="50"/>
      <c r="AG28" s="50"/>
      <c r="AH28" s="50"/>
      <c r="AI28" s="51"/>
      <c r="AJ28" s="51"/>
      <c r="AK28" s="51"/>
      <c r="AL28" s="51"/>
      <c r="AM28" s="51">
        <v>14976.62</v>
      </c>
      <c r="AN28" s="51"/>
      <c r="AO28" s="51"/>
      <c r="AP28" s="51"/>
      <c r="AQ28" s="55"/>
      <c r="AR28" s="55"/>
    </row>
    <row r="29" spans="1:44" ht="17.25" customHeight="1" x14ac:dyDescent="0.25">
      <c r="A29" s="109" t="s">
        <v>8</v>
      </c>
      <c r="B29" s="1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1"/>
      <c r="AD29" s="51"/>
      <c r="AE29" s="50"/>
      <c r="AF29" s="50"/>
      <c r="AG29" s="50"/>
      <c r="AH29" s="50"/>
      <c r="AI29" s="51"/>
      <c r="AJ29" s="51"/>
      <c r="AK29" s="51"/>
      <c r="AL29" s="51"/>
      <c r="AM29" s="51">
        <v>228134.86</v>
      </c>
      <c r="AN29" s="51"/>
      <c r="AO29" s="51"/>
      <c r="AP29" s="51"/>
      <c r="AQ29" s="55"/>
      <c r="AR29" s="55"/>
    </row>
    <row r="30" spans="1:44" ht="45" customHeight="1" x14ac:dyDescent="0.25">
      <c r="A30" s="109" t="s">
        <v>9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1"/>
      <c r="AD30" s="51"/>
      <c r="AE30" s="50"/>
      <c r="AF30" s="50"/>
      <c r="AG30" s="50"/>
      <c r="AH30" s="50"/>
      <c r="AI30" s="51"/>
      <c r="AJ30" s="51"/>
      <c r="AK30" s="51"/>
      <c r="AL30" s="51"/>
      <c r="AM30" s="51">
        <v>154690.45000000001</v>
      </c>
      <c r="AN30" s="51"/>
      <c r="AO30" s="51"/>
      <c r="AP30" s="51"/>
      <c r="AQ30" s="55"/>
      <c r="AR30" s="55"/>
    </row>
    <row r="31" spans="1:44" x14ac:dyDescent="0.25">
      <c r="A31" s="109" t="s">
        <v>10</v>
      </c>
      <c r="B31" s="110"/>
      <c r="C31" s="71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1"/>
      <c r="AD31" s="51"/>
      <c r="AE31" s="50"/>
      <c r="AF31" s="50"/>
      <c r="AG31" s="50"/>
      <c r="AH31" s="50"/>
      <c r="AI31" s="51"/>
      <c r="AJ31" s="51"/>
      <c r="AK31" s="51"/>
      <c r="AL31" s="51"/>
      <c r="AM31" s="51"/>
      <c r="AN31" s="51"/>
      <c r="AO31" s="51"/>
      <c r="AP31" s="51"/>
      <c r="AQ31" s="55"/>
      <c r="AR31" s="55"/>
    </row>
    <row r="32" spans="1:44" ht="28.5" customHeight="1" x14ac:dyDescent="0.25">
      <c r="A32" s="109" t="s">
        <v>16</v>
      </c>
      <c r="B32" s="11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1"/>
      <c r="AD32" s="51"/>
      <c r="AE32" s="50"/>
      <c r="AF32" s="50"/>
      <c r="AG32" s="50"/>
      <c r="AH32" s="50"/>
      <c r="AI32" s="51"/>
      <c r="AJ32" s="51"/>
      <c r="AK32" s="51"/>
      <c r="AL32" s="51"/>
      <c r="AM32" s="50"/>
      <c r="AN32" s="50"/>
      <c r="AO32" s="50"/>
      <c r="AP32" s="50"/>
      <c r="AQ32" s="64"/>
      <c r="AR32" s="64"/>
    </row>
    <row r="33" spans="1:47" x14ac:dyDescent="0.25">
      <c r="A33" s="111" t="s">
        <v>1</v>
      </c>
      <c r="B33" s="112"/>
      <c r="C33" s="115">
        <f>SUM(C35:C39)</f>
        <v>0</v>
      </c>
      <c r="D33" s="115">
        <f>SUM(D35:D39)</f>
        <v>0</v>
      </c>
      <c r="E33" s="115">
        <f t="shared" ref="E33:AD33" si="4">SUM(E35:E39)</f>
        <v>35747.5</v>
      </c>
      <c r="F33" s="115">
        <f t="shared" si="4"/>
        <v>0</v>
      </c>
      <c r="G33" s="115">
        <f t="shared" si="4"/>
        <v>0</v>
      </c>
      <c r="H33" s="115">
        <f t="shared" si="4"/>
        <v>0</v>
      </c>
      <c r="I33" s="115">
        <f t="shared" si="4"/>
        <v>0</v>
      </c>
      <c r="J33" s="115">
        <f t="shared" si="4"/>
        <v>0</v>
      </c>
      <c r="K33" s="115">
        <f t="shared" si="4"/>
        <v>120756.41</v>
      </c>
      <c r="L33" s="115">
        <f t="shared" si="4"/>
        <v>0</v>
      </c>
      <c r="M33" s="115">
        <f t="shared" si="4"/>
        <v>144077.24</v>
      </c>
      <c r="N33" s="115">
        <f t="shared" si="4"/>
        <v>0</v>
      </c>
      <c r="O33" s="115">
        <f t="shared" si="4"/>
        <v>122267.09</v>
      </c>
      <c r="P33" s="115">
        <f t="shared" si="4"/>
        <v>0</v>
      </c>
      <c r="Q33" s="115">
        <f t="shared" si="4"/>
        <v>81760.240000000005</v>
      </c>
      <c r="R33" s="115">
        <f t="shared" si="4"/>
        <v>0</v>
      </c>
      <c r="S33" s="115">
        <f t="shared" si="4"/>
        <v>68067.33</v>
      </c>
      <c r="T33" s="115">
        <f t="shared" si="4"/>
        <v>0</v>
      </c>
      <c r="U33" s="115">
        <f t="shared" si="4"/>
        <v>61711.68</v>
      </c>
      <c r="V33" s="115">
        <f t="shared" si="4"/>
        <v>0</v>
      </c>
      <c r="W33" s="115">
        <f t="shared" si="4"/>
        <v>0</v>
      </c>
      <c r="X33" s="115">
        <f t="shared" si="4"/>
        <v>0</v>
      </c>
      <c r="Y33" s="115">
        <f t="shared" si="4"/>
        <v>217.78</v>
      </c>
      <c r="Z33" s="115">
        <f t="shared" si="4"/>
        <v>0</v>
      </c>
      <c r="AA33" s="128">
        <f t="shared" si="4"/>
        <v>187710.37</v>
      </c>
      <c r="AB33" s="128">
        <f t="shared" si="4"/>
        <v>0</v>
      </c>
      <c r="AC33" s="128">
        <f t="shared" si="4"/>
        <v>333233.98</v>
      </c>
      <c r="AD33" s="128">
        <f t="shared" si="4"/>
        <v>0</v>
      </c>
      <c r="AE33" s="126">
        <f t="shared" ref="AE33:AL33" si="5">AE35+AE36+AE37+AE38+AE39</f>
        <v>667959.52</v>
      </c>
      <c r="AF33" s="126">
        <f t="shared" si="5"/>
        <v>0</v>
      </c>
      <c r="AG33" s="126">
        <f t="shared" si="5"/>
        <v>94034.71</v>
      </c>
      <c r="AH33" s="126">
        <f t="shared" si="5"/>
        <v>0</v>
      </c>
      <c r="AI33" s="122">
        <f t="shared" si="5"/>
        <v>797761.55</v>
      </c>
      <c r="AJ33" s="122">
        <f t="shared" si="5"/>
        <v>0</v>
      </c>
      <c r="AK33" s="122">
        <v>0</v>
      </c>
      <c r="AL33" s="122">
        <f t="shared" si="5"/>
        <v>0</v>
      </c>
      <c r="AM33" s="122">
        <f>AM35+AM36+AM37+AM38+AM39</f>
        <v>177719.41</v>
      </c>
      <c r="AN33" s="122">
        <f>AN35+AN36+AN37+AN38+AN39</f>
        <v>0</v>
      </c>
      <c r="AO33" s="122">
        <f>AO35+AO36+AO37+AO38+AO39</f>
        <v>0</v>
      </c>
      <c r="AP33" s="122">
        <f>AP35+AP36+AP37+AP38+AP39</f>
        <v>0</v>
      </c>
      <c r="AQ33" s="116">
        <f>AM33/AI33-1</f>
        <v>-0.77722740585830441</v>
      </c>
      <c r="AR33" s="116" t="e">
        <f>AO33/AK33-1</f>
        <v>#DIV/0!</v>
      </c>
    </row>
    <row r="34" spans="1:47" x14ac:dyDescent="0.25">
      <c r="A34" s="113"/>
      <c r="B34" s="114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5"/>
      <c r="AB34" s="125"/>
      <c r="AC34" s="125"/>
      <c r="AD34" s="125"/>
      <c r="AE34" s="127"/>
      <c r="AF34" s="127"/>
      <c r="AG34" s="127"/>
      <c r="AH34" s="127"/>
      <c r="AI34" s="123"/>
      <c r="AJ34" s="123"/>
      <c r="AK34" s="123"/>
      <c r="AL34" s="123"/>
      <c r="AM34" s="123"/>
      <c r="AN34" s="123"/>
      <c r="AO34" s="123"/>
      <c r="AP34" s="123"/>
      <c r="AQ34" s="117"/>
      <c r="AR34" s="117"/>
    </row>
    <row r="35" spans="1:47" ht="45.75" customHeight="1" x14ac:dyDescent="0.25">
      <c r="A35" s="109" t="s">
        <v>11</v>
      </c>
      <c r="B35" s="110"/>
      <c r="C35" s="2"/>
      <c r="D35" s="2"/>
      <c r="E35" s="2">
        <v>35747.5</v>
      </c>
      <c r="F35" s="2"/>
      <c r="G35" s="2"/>
      <c r="H35" s="2"/>
      <c r="I35" s="2"/>
      <c r="J35" s="2"/>
      <c r="K35" s="2">
        <v>120756.41</v>
      </c>
      <c r="L35" s="2"/>
      <c r="M35" s="2">
        <v>144077.24</v>
      </c>
      <c r="N35" s="2"/>
      <c r="O35" s="2">
        <v>122267.09</v>
      </c>
      <c r="P35" s="2"/>
      <c r="Q35" s="2">
        <v>67770.240000000005</v>
      </c>
      <c r="R35" s="2"/>
      <c r="S35" s="2">
        <f>65281.19+2786.14</f>
        <v>68067.33</v>
      </c>
      <c r="T35" s="2"/>
      <c r="U35" s="2">
        <v>61711.68</v>
      </c>
      <c r="V35" s="2"/>
      <c r="W35" s="2"/>
      <c r="X35" s="2"/>
      <c r="Y35" s="2">
        <v>217.78</v>
      </c>
      <c r="Z35" s="2"/>
      <c r="AA35" s="16">
        <v>35</v>
      </c>
      <c r="AB35" s="16"/>
      <c r="AC35" s="16">
        <f>27611.35+117602.07</f>
        <v>145213.42000000001</v>
      </c>
      <c r="AD35" s="13"/>
      <c r="AE35" s="23">
        <f>56332.86+251324.18</f>
        <v>307657.03999999998</v>
      </c>
      <c r="AF35" s="13"/>
      <c r="AG35" s="23">
        <f>3600+90434.71</f>
        <v>94034.71</v>
      </c>
      <c r="AH35" s="23"/>
      <c r="AI35" s="16">
        <f>30567.15+190377.23</f>
        <v>220944.38</v>
      </c>
      <c r="AJ35" s="16"/>
      <c r="AK35" s="16"/>
      <c r="AL35" s="16"/>
      <c r="AM35" s="16">
        <f>73933.92+103785.49</f>
        <v>177719.41</v>
      </c>
      <c r="AN35" s="16"/>
      <c r="AO35" s="16"/>
      <c r="AP35" s="16"/>
      <c r="AQ35" s="24"/>
      <c r="AR35" s="24"/>
    </row>
    <row r="36" spans="1:47" ht="15.75" customHeight="1" x14ac:dyDescent="0.25">
      <c r="A36" s="109" t="s">
        <v>8</v>
      </c>
      <c r="B36" s="1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>
        <v>172262.37</v>
      </c>
      <c r="AB36" s="16"/>
      <c r="AC36" s="16">
        <v>188020.56</v>
      </c>
      <c r="AD36" s="13"/>
      <c r="AE36" s="23">
        <v>225161</v>
      </c>
      <c r="AF36" s="13"/>
      <c r="AG36" s="13"/>
      <c r="AH36" s="13"/>
      <c r="AI36" s="16">
        <v>372715</v>
      </c>
      <c r="AJ36" s="16"/>
      <c r="AK36" s="16"/>
      <c r="AL36" s="16"/>
      <c r="AM36" s="13"/>
      <c r="AN36" s="13"/>
      <c r="AO36" s="13"/>
      <c r="AP36" s="13"/>
      <c r="AQ36" s="31"/>
      <c r="AR36" s="31"/>
    </row>
    <row r="37" spans="1:47" ht="46.5" customHeight="1" x14ac:dyDescent="0.25">
      <c r="A37" s="109" t="s">
        <v>9</v>
      </c>
      <c r="B37" s="1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3"/>
      <c r="AD37" s="13"/>
      <c r="AE37" s="23"/>
      <c r="AF37" s="13"/>
      <c r="AG37" s="13"/>
      <c r="AH37" s="13"/>
      <c r="AI37" s="16"/>
      <c r="AJ37" s="16"/>
      <c r="AK37" s="16"/>
      <c r="AL37" s="16"/>
      <c r="AM37" s="13"/>
      <c r="AN37" s="13"/>
      <c r="AO37" s="13"/>
      <c r="AP37" s="13"/>
      <c r="AQ37" s="31"/>
      <c r="AR37" s="31"/>
    </row>
    <row r="38" spans="1:47" ht="18" customHeight="1" x14ac:dyDescent="0.25">
      <c r="A38" s="109" t="s">
        <v>10</v>
      </c>
      <c r="B38" s="1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13990</v>
      </c>
      <c r="R38" s="2"/>
      <c r="S38" s="2"/>
      <c r="T38" s="2"/>
      <c r="U38" s="2"/>
      <c r="V38" s="2"/>
      <c r="W38" s="2"/>
      <c r="X38" s="2"/>
      <c r="Y38" s="2"/>
      <c r="Z38" s="2"/>
      <c r="AA38" s="16">
        <v>15413</v>
      </c>
      <c r="AB38" s="16"/>
      <c r="AC38" s="13"/>
      <c r="AD38" s="13"/>
      <c r="AE38" s="23">
        <v>135141.48000000001</v>
      </c>
      <c r="AF38" s="13"/>
      <c r="AG38" s="13"/>
      <c r="AH38" s="13"/>
      <c r="AI38" s="16">
        <v>204102.17</v>
      </c>
      <c r="AJ38" s="16"/>
      <c r="AK38" s="16"/>
      <c r="AL38" s="16"/>
      <c r="AM38" s="13"/>
      <c r="AN38" s="13"/>
      <c r="AO38" s="13"/>
      <c r="AP38" s="13"/>
      <c r="AQ38" s="31"/>
      <c r="AR38" s="31"/>
    </row>
    <row r="39" spans="1:47" ht="30.75" customHeight="1" x14ac:dyDescent="0.25">
      <c r="A39" s="109" t="s">
        <v>16</v>
      </c>
      <c r="B39" s="1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3"/>
      <c r="AD39" s="13"/>
      <c r="AE39" s="13"/>
      <c r="AF39" s="13"/>
      <c r="AG39" s="13"/>
      <c r="AH39" s="13"/>
      <c r="AI39" s="16"/>
      <c r="AJ39" s="16"/>
      <c r="AK39" s="16"/>
      <c r="AL39" s="16"/>
      <c r="AM39" s="13"/>
      <c r="AN39" s="13"/>
      <c r="AO39" s="13"/>
      <c r="AP39" s="13"/>
      <c r="AQ39" s="31"/>
      <c r="AR39" s="31"/>
    </row>
    <row r="40" spans="1:47" x14ac:dyDescent="0.25">
      <c r="A40" s="111" t="s">
        <v>2</v>
      </c>
      <c r="B40" s="112"/>
      <c r="C40" s="115">
        <v>54846675.530000001</v>
      </c>
      <c r="D40" s="115">
        <v>48940486.590000004</v>
      </c>
      <c r="E40" s="115">
        <f>SUM(E42:E46)</f>
        <v>64656891.350000001</v>
      </c>
      <c r="F40" s="115">
        <f>SUM(F42:F46)</f>
        <v>51440732.669999994</v>
      </c>
      <c r="G40" s="115">
        <f t="shared" ref="G40:AD40" si="6">SUM(G42:G46)</f>
        <v>69207433.140000001</v>
      </c>
      <c r="H40" s="115">
        <f t="shared" si="6"/>
        <v>50454846.649999999</v>
      </c>
      <c r="I40" s="115">
        <f t="shared" si="6"/>
        <v>70742852.230000004</v>
      </c>
      <c r="J40" s="115">
        <f t="shared" si="6"/>
        <v>55024116.890000001</v>
      </c>
      <c r="K40" s="115">
        <f t="shared" si="6"/>
        <v>70605066.099999994</v>
      </c>
      <c r="L40" s="115">
        <f t="shared" si="6"/>
        <v>57943952.730000004</v>
      </c>
      <c r="M40" s="115">
        <f t="shared" si="6"/>
        <v>73371785.549999997</v>
      </c>
      <c r="N40" s="115">
        <f t="shared" si="6"/>
        <v>57519633.82</v>
      </c>
      <c r="O40" s="115">
        <f t="shared" si="6"/>
        <v>69857012.25</v>
      </c>
      <c r="P40" s="115">
        <f t="shared" si="6"/>
        <v>65548817.789999999</v>
      </c>
      <c r="Q40" s="115">
        <f t="shared" si="6"/>
        <v>71509757.569999993</v>
      </c>
      <c r="R40" s="115">
        <f t="shared" si="6"/>
        <v>57862859.439999998</v>
      </c>
      <c r="S40" s="115">
        <f t="shared" si="6"/>
        <v>71486946.959999993</v>
      </c>
      <c r="T40" s="115">
        <f t="shared" si="6"/>
        <v>57789918.439999998</v>
      </c>
      <c r="U40" s="115">
        <f t="shared" si="6"/>
        <v>70592079.479999989</v>
      </c>
      <c r="V40" s="115">
        <f t="shared" si="6"/>
        <v>61579945.239999995</v>
      </c>
      <c r="W40" s="115">
        <f t="shared" si="6"/>
        <v>66866461.460000001</v>
      </c>
      <c r="X40" s="115">
        <f t="shared" si="6"/>
        <v>57735277.960000001</v>
      </c>
      <c r="Y40" s="115">
        <f t="shared" si="6"/>
        <v>103038065.23999999</v>
      </c>
      <c r="Z40" s="115">
        <f t="shared" si="6"/>
        <v>90836160.789999992</v>
      </c>
      <c r="AA40" s="128">
        <f t="shared" si="6"/>
        <v>56387437.119999997</v>
      </c>
      <c r="AB40" s="128">
        <f t="shared" si="6"/>
        <v>15533763.189999999</v>
      </c>
      <c r="AC40" s="128">
        <f t="shared" si="6"/>
        <v>119943838.53</v>
      </c>
      <c r="AD40" s="128">
        <f t="shared" si="6"/>
        <v>72448338.349999994</v>
      </c>
      <c r="AE40" s="126">
        <f t="shared" ref="AE40:AL40" si="7">AE42+AE43+AE44+AE45+AE46</f>
        <v>98597337.969999999</v>
      </c>
      <c r="AF40" s="126">
        <f t="shared" si="7"/>
        <v>28249113.57</v>
      </c>
      <c r="AG40" s="126">
        <f t="shared" si="7"/>
        <v>52538002.529999994</v>
      </c>
      <c r="AH40" s="126">
        <f t="shared" si="7"/>
        <v>0</v>
      </c>
      <c r="AI40" s="122">
        <f t="shared" si="7"/>
        <v>63217359.389999993</v>
      </c>
      <c r="AJ40" s="122">
        <f t="shared" si="7"/>
        <v>27862807.449999999</v>
      </c>
      <c r="AK40" s="122">
        <f t="shared" si="7"/>
        <v>9411597.2899999991</v>
      </c>
      <c r="AL40" s="122">
        <f t="shared" si="7"/>
        <v>0</v>
      </c>
      <c r="AM40" s="122">
        <f>AM42+AM43+AM44+AM45+AM46</f>
        <v>49786014.659999996</v>
      </c>
      <c r="AN40" s="122">
        <f>AN42+AN43+AN44+AN45+AN46</f>
        <v>26173821.319999997</v>
      </c>
      <c r="AO40" s="122">
        <f>AO42+AO43+AO44+AO45+AO46</f>
        <v>381120</v>
      </c>
      <c r="AP40" s="122">
        <f>AP42+AP43+AP44+AP45+AP46</f>
        <v>0</v>
      </c>
      <c r="AQ40" s="116">
        <f>AM40/AI40-1</f>
        <v>-0.2124629193563663</v>
      </c>
      <c r="AR40" s="116">
        <f>AO40/AK40-1</f>
        <v>-0.95950527968244592</v>
      </c>
    </row>
    <row r="41" spans="1:47" ht="12" customHeight="1" x14ac:dyDescent="0.25">
      <c r="A41" s="113"/>
      <c r="B41" s="114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25"/>
      <c r="AB41" s="125"/>
      <c r="AC41" s="125"/>
      <c r="AD41" s="125"/>
      <c r="AE41" s="127"/>
      <c r="AF41" s="127"/>
      <c r="AG41" s="127"/>
      <c r="AH41" s="127"/>
      <c r="AI41" s="123"/>
      <c r="AJ41" s="123"/>
      <c r="AK41" s="123"/>
      <c r="AL41" s="123"/>
      <c r="AM41" s="123"/>
      <c r="AN41" s="123"/>
      <c r="AO41" s="123"/>
      <c r="AP41" s="123"/>
      <c r="AQ41" s="117"/>
      <c r="AR41" s="117"/>
    </row>
    <row r="42" spans="1:47" ht="43.5" customHeight="1" x14ac:dyDescent="0.25">
      <c r="A42" s="109" t="s">
        <v>11</v>
      </c>
      <c r="B42" s="110"/>
      <c r="C42" s="2"/>
      <c r="D42" s="2"/>
      <c r="E42" s="2">
        <v>10110055.9</v>
      </c>
      <c r="F42" s="2">
        <f>51442088.62-49312861.59</f>
        <v>2129227.0299999937</v>
      </c>
      <c r="G42" s="2">
        <v>10146692.35</v>
      </c>
      <c r="H42" s="2">
        <v>2129227.0299999998</v>
      </c>
      <c r="I42" s="2">
        <v>14616479.76</v>
      </c>
      <c r="J42" s="2">
        <v>2129227.0299999998</v>
      </c>
      <c r="K42" s="2">
        <v>7843217.96</v>
      </c>
      <c r="L42" s="2">
        <v>2129227.0299999998</v>
      </c>
      <c r="M42" s="2">
        <v>7533070</v>
      </c>
      <c r="N42" s="2">
        <v>2129227.0299999998</v>
      </c>
      <c r="O42" s="2">
        <v>6652443.1100000003</v>
      </c>
      <c r="P42" s="2">
        <v>2344248.65</v>
      </c>
      <c r="Q42" s="2">
        <f>8677372.77+42645.25</f>
        <v>8720018.0199999996</v>
      </c>
      <c r="R42" s="2">
        <f>2344248.65</f>
        <v>2344248.65</v>
      </c>
      <c r="S42" s="2">
        <f>69747.65+9218096.72</f>
        <v>9287844.370000001</v>
      </c>
      <c r="T42" s="2">
        <v>2271307.65</v>
      </c>
      <c r="U42" s="2">
        <f>94170.06+10964271.83</f>
        <v>11058441.890000001</v>
      </c>
      <c r="V42" s="2">
        <f>2046307.65</f>
        <v>2046307.65</v>
      </c>
      <c r="W42" s="2">
        <f>11194823.81+98358.34</f>
        <v>11293182.15</v>
      </c>
      <c r="X42" s="2">
        <f>2161998.65</f>
        <v>2161998.65</v>
      </c>
      <c r="Y42" s="2">
        <v>13594212.15</v>
      </c>
      <c r="Z42" s="2">
        <v>4751435.4800000004</v>
      </c>
      <c r="AA42" s="16">
        <f>77325.12+12375433.35</f>
        <v>12452758.469999999</v>
      </c>
      <c r="AB42" s="16">
        <v>1634678.03</v>
      </c>
      <c r="AC42" s="16">
        <f>263374.33+25371454.14</f>
        <v>25634828.469999999</v>
      </c>
      <c r="AD42" s="16">
        <v>7111498.0199999996</v>
      </c>
      <c r="AE42" s="23">
        <f>361338.29+22200823.79</f>
        <v>22562162.079999998</v>
      </c>
      <c r="AF42" s="23">
        <v>1203080.3799999999</v>
      </c>
      <c r="AG42" s="23">
        <f>223320.42+7979287.52</f>
        <v>8202607.9399999995</v>
      </c>
      <c r="AH42" s="13"/>
      <c r="AI42" s="16">
        <f>58898.5+5757823.28+84105.04+8232493.31</f>
        <v>14133320.129999999</v>
      </c>
      <c r="AJ42" s="16">
        <f>58898.5+84105.04</f>
        <v>143003.53999999998</v>
      </c>
      <c r="AK42" s="16">
        <v>1077110.1399999999</v>
      </c>
      <c r="AL42" s="16"/>
      <c r="AM42" s="16">
        <f>6666650.33+5624949.78</f>
        <v>12291600.109999999</v>
      </c>
      <c r="AN42" s="16">
        <f>35741.07+67278.18</f>
        <v>103019.25</v>
      </c>
      <c r="AO42" s="16"/>
      <c r="AP42" s="16"/>
      <c r="AQ42" s="24"/>
      <c r="AR42" s="24"/>
      <c r="AU42" s="30"/>
    </row>
    <row r="43" spans="1:47" ht="18" customHeight="1" x14ac:dyDescent="0.25">
      <c r="A43" s="109" t="s">
        <v>8</v>
      </c>
      <c r="B43" s="1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6">
        <f>774524.11+20097533.72</f>
        <v>20872057.829999998</v>
      </c>
      <c r="AB43" s="16"/>
      <c r="AC43" s="16">
        <f>815882.11+24539657.77</f>
        <v>25355539.879999999</v>
      </c>
      <c r="AD43" s="16"/>
      <c r="AE43" s="23">
        <f>826423.25+23317982.32</f>
        <v>24144405.57</v>
      </c>
      <c r="AF43" s="23">
        <v>16922780.550000001</v>
      </c>
      <c r="AG43" s="23"/>
      <c r="AH43" s="13"/>
      <c r="AI43" s="16">
        <f>6636427.13+2761581.99+10175763.76+5190667.21</f>
        <v>24764440.090000004</v>
      </c>
      <c r="AJ43" s="16">
        <f>6636427.13+10175763.76</f>
        <v>16812190.890000001</v>
      </c>
      <c r="AK43" s="16"/>
      <c r="AL43" s="16"/>
      <c r="AM43" s="16">
        <f>7952572.92+13599050.19</f>
        <v>21551623.109999999</v>
      </c>
      <c r="AN43" s="16">
        <f>6844713.26+9282998.62</f>
        <v>16127711.879999999</v>
      </c>
      <c r="AO43" s="16"/>
      <c r="AP43" s="16"/>
      <c r="AQ43" s="24"/>
      <c r="AR43" s="24"/>
    </row>
    <row r="44" spans="1:47" ht="44.25" customHeight="1" x14ac:dyDescent="0.25">
      <c r="A44" s="109" t="s">
        <v>9</v>
      </c>
      <c r="B44" s="110"/>
      <c r="C44" s="2"/>
      <c r="D44" s="2"/>
      <c r="E44" s="2">
        <v>4317281.3899999997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3356790.95</v>
      </c>
      <c r="Z44" s="2"/>
      <c r="AA44" s="16">
        <f>511757.59+6814505.62</f>
        <v>7326263.21</v>
      </c>
      <c r="AB44" s="16"/>
      <c r="AC44" s="16">
        <f>484038.54+11956133.92</f>
        <v>12440172.459999999</v>
      </c>
      <c r="AD44" s="16">
        <v>10626588</v>
      </c>
      <c r="AE44" s="23">
        <f>871920.5+16450579.56</f>
        <v>17322500.060000002</v>
      </c>
      <c r="AF44" s="23">
        <v>10123252.640000001</v>
      </c>
      <c r="AG44" s="23">
        <f>353493.68+11501508.54</f>
        <v>11855002.219999999</v>
      </c>
      <c r="AH44" s="13"/>
      <c r="AI44" s="16">
        <f>4846101.83+2549979.72+3834472.6+2522828.53</f>
        <v>13753382.68</v>
      </c>
      <c r="AJ44" s="16">
        <f>4846101.83+3834472.6</f>
        <v>8680574.4299999997</v>
      </c>
      <c r="AK44" s="16"/>
      <c r="AL44" s="16"/>
      <c r="AM44" s="16">
        <f>7445909.28+7217099.4</f>
        <v>14663008.68</v>
      </c>
      <c r="AN44" s="16">
        <f>4719696.68+4376171.99</f>
        <v>9095868.6699999999</v>
      </c>
      <c r="AO44" s="16"/>
      <c r="AP44" s="16"/>
      <c r="AQ44" s="24"/>
      <c r="AR44" s="24"/>
    </row>
    <row r="45" spans="1:47" ht="16.899999999999999" customHeight="1" x14ac:dyDescent="0.25">
      <c r="A45" s="109" t="s">
        <v>10</v>
      </c>
      <c r="B45" s="110"/>
      <c r="C45" s="2"/>
      <c r="D45" s="2"/>
      <c r="E45" s="2">
        <v>50229554.060000002</v>
      </c>
      <c r="F45" s="2">
        <v>49311505.640000001</v>
      </c>
      <c r="G45" s="2">
        <f>54914409.14+4146331.65</f>
        <v>59060740.789999999</v>
      </c>
      <c r="H45" s="2">
        <f>4092516+44233103.62</f>
        <v>48325619.619999997</v>
      </c>
      <c r="I45" s="2">
        <f>4125519+52000853.47</f>
        <v>56126372.469999999</v>
      </c>
      <c r="J45" s="2">
        <f>4092516+48802373.86</f>
        <v>52894889.859999999</v>
      </c>
      <c r="K45" s="2">
        <f>4106722+58655126.14</f>
        <v>62761848.140000001</v>
      </c>
      <c r="L45" s="2">
        <f>4092516+51722209.7</f>
        <v>55814725.700000003</v>
      </c>
      <c r="M45" s="2">
        <f>3726327.65+62112387.9</f>
        <v>65838715.549999997</v>
      </c>
      <c r="N45" s="2">
        <f>51679075.14+3711331.65</f>
        <v>55390406.789999999</v>
      </c>
      <c r="O45" s="2">
        <f>3292052+59912517.14</f>
        <v>63204569.140000001</v>
      </c>
      <c r="P45" s="2">
        <f>3292052+59912517.14</f>
        <v>63204569.140000001</v>
      </c>
      <c r="Q45" s="2">
        <f>59493077.9+3296661.65</f>
        <v>62789739.549999997</v>
      </c>
      <c r="R45" s="2">
        <f>3296661.65+52221949.14</f>
        <v>55518610.789999999</v>
      </c>
      <c r="S45" s="2">
        <f>58887656.94+3311445.65</f>
        <v>62199102.589999996</v>
      </c>
      <c r="T45" s="2">
        <f>3296661.65+52221949.14</f>
        <v>55518610.789999999</v>
      </c>
      <c r="U45" s="2">
        <f>56222191.94+3311445.65</f>
        <v>59533637.589999996</v>
      </c>
      <c r="V45" s="2">
        <f>3311445.65+56222191.94</f>
        <v>59533637.589999996</v>
      </c>
      <c r="W45" s="2">
        <f>1281078.35+54292200.96</f>
        <v>55573279.310000002</v>
      </c>
      <c r="X45" s="2">
        <f>54292200.96+1281078.35</f>
        <v>55573279.310000002</v>
      </c>
      <c r="Y45" s="2">
        <v>55305512.479999997</v>
      </c>
      <c r="Z45" s="2">
        <v>55305512.479999997</v>
      </c>
      <c r="AA45" s="16">
        <v>12430432.640000001</v>
      </c>
      <c r="AB45" s="16">
        <v>12430432.640000001</v>
      </c>
      <c r="AC45" s="16">
        <v>19001954.52</v>
      </c>
      <c r="AD45" s="16">
        <v>19001954.52</v>
      </c>
      <c r="AE45" s="23">
        <f>8958+7347927.08</f>
        <v>7356885.0800000001</v>
      </c>
      <c r="AF45" s="13"/>
      <c r="AG45" s="23">
        <f>8958+6907494.08</f>
        <v>6916452.0800000001</v>
      </c>
      <c r="AH45" s="13"/>
      <c r="AI45" s="16">
        <f>2101880.84+3050643.64</f>
        <v>5152524.4800000004</v>
      </c>
      <c r="AJ45" s="16"/>
      <c r="AK45" s="16">
        <f>2101856.09+3050642.64</f>
        <v>5152498.7300000004</v>
      </c>
      <c r="AL45" s="16"/>
      <c r="AM45" s="16">
        <f>197520+183600</f>
        <v>381120</v>
      </c>
      <c r="AN45" s="16"/>
      <c r="AO45" s="16">
        <f>197520+183600</f>
        <v>381120</v>
      </c>
      <c r="AP45" s="16"/>
      <c r="AQ45" s="24" t="s">
        <v>42</v>
      </c>
      <c r="AR45" s="24"/>
    </row>
    <row r="46" spans="1:47" ht="31.5" customHeight="1" x14ac:dyDescent="0.25">
      <c r="A46" s="109" t="s">
        <v>16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30781549.66</v>
      </c>
      <c r="Z46" s="2">
        <v>30779212.829999998</v>
      </c>
      <c r="AA46" s="16">
        <f>3305399.51+525.46</f>
        <v>3305924.9699999997</v>
      </c>
      <c r="AB46" s="16">
        <v>1468652.52</v>
      </c>
      <c r="AC46" s="16">
        <f>37418429.35+92913.85</f>
        <v>37511343.200000003</v>
      </c>
      <c r="AD46" s="16">
        <v>35708297.810000002</v>
      </c>
      <c r="AE46" s="23">
        <f>27144292.69+67092.49</f>
        <v>27211385.18</v>
      </c>
      <c r="AF46" s="13"/>
      <c r="AG46" s="23">
        <v>25563940.289999999</v>
      </c>
      <c r="AH46" s="13"/>
      <c r="AI46" s="16">
        <f>5363159.41+45867.6+4665</f>
        <v>5413692.0099999998</v>
      </c>
      <c r="AJ46" s="16">
        <f>45867.6+2181170.99</f>
        <v>2227038.5900000003</v>
      </c>
      <c r="AK46" s="16">
        <v>3181988.42</v>
      </c>
      <c r="AL46" s="16"/>
      <c r="AM46" s="16">
        <v>898662.76</v>
      </c>
      <c r="AN46" s="16">
        <v>847221.52</v>
      </c>
      <c r="AO46" s="16"/>
      <c r="AP46" s="16"/>
      <c r="AQ46" s="24"/>
      <c r="AR46" s="24"/>
    </row>
    <row r="47" spans="1:47" x14ac:dyDescent="0.25">
      <c r="A47" s="111" t="s">
        <v>3</v>
      </c>
      <c r="B47" s="112"/>
      <c r="C47" s="115">
        <v>-7680.14</v>
      </c>
      <c r="D47" s="115">
        <f>SUM(D49:D53)</f>
        <v>0</v>
      </c>
      <c r="E47" s="115">
        <f t="shared" ref="E47:AD47" si="8">SUM(E49:E53)</f>
        <v>0</v>
      </c>
      <c r="F47" s="115">
        <f t="shared" si="8"/>
        <v>0</v>
      </c>
      <c r="G47" s="115">
        <f t="shared" si="8"/>
        <v>114426.95</v>
      </c>
      <c r="H47" s="115">
        <f t="shared" si="8"/>
        <v>0</v>
      </c>
      <c r="I47" s="115">
        <f t="shared" si="8"/>
        <v>88290.77</v>
      </c>
      <c r="J47" s="115">
        <f t="shared" si="8"/>
        <v>0</v>
      </c>
      <c r="K47" s="115">
        <f t="shared" si="8"/>
        <v>51440.42</v>
      </c>
      <c r="L47" s="115">
        <f t="shared" si="8"/>
        <v>0</v>
      </c>
      <c r="M47" s="115">
        <f t="shared" si="8"/>
        <v>169857.58</v>
      </c>
      <c r="N47" s="115">
        <f t="shared" si="8"/>
        <v>0</v>
      </c>
      <c r="O47" s="115">
        <f t="shared" si="8"/>
        <v>77731.77</v>
      </c>
      <c r="P47" s="115">
        <f t="shared" si="8"/>
        <v>0</v>
      </c>
      <c r="Q47" s="115">
        <f t="shared" si="8"/>
        <v>55035.07</v>
      </c>
      <c r="R47" s="115">
        <f t="shared" si="8"/>
        <v>0</v>
      </c>
      <c r="S47" s="115">
        <f t="shared" si="8"/>
        <v>80513.679999999993</v>
      </c>
      <c r="T47" s="115">
        <f t="shared" si="8"/>
        <v>0</v>
      </c>
      <c r="U47" s="115">
        <f t="shared" si="8"/>
        <v>77945.259999999995</v>
      </c>
      <c r="V47" s="115">
        <f t="shared" si="8"/>
        <v>0</v>
      </c>
      <c r="W47" s="115">
        <f t="shared" si="8"/>
        <v>84064.9</v>
      </c>
      <c r="X47" s="115">
        <f t="shared" si="8"/>
        <v>0</v>
      </c>
      <c r="Y47" s="115">
        <f t="shared" si="8"/>
        <v>0</v>
      </c>
      <c r="Z47" s="115">
        <f t="shared" si="8"/>
        <v>0</v>
      </c>
      <c r="AA47" s="128">
        <f t="shared" si="8"/>
        <v>663721.94999999995</v>
      </c>
      <c r="AB47" s="128">
        <f t="shared" si="8"/>
        <v>0</v>
      </c>
      <c r="AC47" s="128">
        <f t="shared" si="8"/>
        <v>856387.40999999992</v>
      </c>
      <c r="AD47" s="128">
        <f t="shared" si="8"/>
        <v>0</v>
      </c>
      <c r="AE47" s="126">
        <f t="shared" ref="AE47:AL47" si="9">AE49+AE50+AE51+AE52+AE53</f>
        <v>807619</v>
      </c>
      <c r="AF47" s="126">
        <f t="shared" si="9"/>
        <v>0</v>
      </c>
      <c r="AG47" s="126">
        <f t="shared" si="9"/>
        <v>0</v>
      </c>
      <c r="AH47" s="126">
        <f t="shared" si="9"/>
        <v>0</v>
      </c>
      <c r="AI47" s="122">
        <f t="shared" si="9"/>
        <v>1745805.9500000002</v>
      </c>
      <c r="AJ47" s="122">
        <f t="shared" si="9"/>
        <v>0</v>
      </c>
      <c r="AK47" s="122">
        <v>0</v>
      </c>
      <c r="AL47" s="122">
        <f t="shared" si="9"/>
        <v>0</v>
      </c>
      <c r="AM47" s="122">
        <f>AM49+AM50+AM51+AM52+AM53</f>
        <v>732891.89999999991</v>
      </c>
      <c r="AN47" s="122">
        <f>AN49+AN50+AN51+AN52+AN53</f>
        <v>0</v>
      </c>
      <c r="AO47" s="122">
        <f>AO49+AO50+AO51+AO52+AO53</f>
        <v>0</v>
      </c>
      <c r="AP47" s="122">
        <f>AP49+AP50+AP51+AP52+AP53</f>
        <v>0</v>
      </c>
      <c r="AQ47" s="116">
        <f>AM47/AI47-1</f>
        <v>-0.58019853237411656</v>
      </c>
      <c r="AR47" s="116" t="e">
        <f>AO47/AK47-1</f>
        <v>#DIV/0!</v>
      </c>
    </row>
    <row r="48" spans="1:47" x14ac:dyDescent="0.25">
      <c r="A48" s="113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5"/>
      <c r="AB48" s="125"/>
      <c r="AC48" s="125"/>
      <c r="AD48" s="125"/>
      <c r="AE48" s="127"/>
      <c r="AF48" s="127"/>
      <c r="AG48" s="127"/>
      <c r="AH48" s="127"/>
      <c r="AI48" s="123"/>
      <c r="AJ48" s="123"/>
      <c r="AK48" s="123"/>
      <c r="AL48" s="123"/>
      <c r="AM48" s="123"/>
      <c r="AN48" s="123"/>
      <c r="AO48" s="123"/>
      <c r="AP48" s="123"/>
      <c r="AQ48" s="117"/>
      <c r="AR48" s="117"/>
    </row>
    <row r="49" spans="1:44" ht="43.5" customHeight="1" x14ac:dyDescent="0.25">
      <c r="A49" s="109" t="s">
        <v>11</v>
      </c>
      <c r="B49" s="110"/>
      <c r="C49" s="2">
        <v>0</v>
      </c>
      <c r="D49" s="2"/>
      <c r="E49" s="2">
        <v>0</v>
      </c>
      <c r="F49" s="2"/>
      <c r="G49" s="2">
        <v>114426.95</v>
      </c>
      <c r="H49" s="2"/>
      <c r="I49" s="2">
        <v>88290.77</v>
      </c>
      <c r="J49" s="2"/>
      <c r="K49" s="2">
        <v>51440.42</v>
      </c>
      <c r="L49" s="2"/>
      <c r="M49" s="2">
        <v>169857.58</v>
      </c>
      <c r="N49" s="2"/>
      <c r="O49" s="2">
        <v>77731.77</v>
      </c>
      <c r="P49" s="2"/>
      <c r="Q49" s="2">
        <v>55035.07</v>
      </c>
      <c r="R49" s="2"/>
      <c r="S49" s="2">
        <v>80513.679999999993</v>
      </c>
      <c r="T49" s="2"/>
      <c r="U49" s="2">
        <v>77945.259999999995</v>
      </c>
      <c r="V49" s="2"/>
      <c r="W49" s="2">
        <v>84064.9</v>
      </c>
      <c r="X49" s="2"/>
      <c r="Y49" s="2"/>
      <c r="Z49" s="2"/>
      <c r="AA49" s="16">
        <v>4839.6099999999997</v>
      </c>
      <c r="AB49" s="16"/>
      <c r="AC49" s="16">
        <v>85242.16</v>
      </c>
      <c r="AD49" s="13"/>
      <c r="AE49" s="23">
        <v>172973.85</v>
      </c>
      <c r="AF49" s="23"/>
      <c r="AG49" s="23"/>
      <c r="AH49" s="23"/>
      <c r="AI49" s="16">
        <f>72200.43+5275.44</f>
        <v>77475.87</v>
      </c>
      <c r="AJ49" s="16"/>
      <c r="AK49" s="16"/>
      <c r="AL49" s="16"/>
      <c r="AM49" s="16">
        <f>8639.4+10796.51</f>
        <v>19435.91</v>
      </c>
      <c r="AN49" s="16"/>
      <c r="AO49" s="16"/>
      <c r="AP49" s="16"/>
      <c r="AQ49" s="24"/>
      <c r="AR49" s="24"/>
    </row>
    <row r="50" spans="1:44" x14ac:dyDescent="0.25">
      <c r="A50" s="109" t="s">
        <v>8</v>
      </c>
      <c r="B50" s="1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6">
        <v>446550.73</v>
      </c>
      <c r="AB50" s="16"/>
      <c r="AC50" s="16">
        <v>451706.16</v>
      </c>
      <c r="AD50" s="13"/>
      <c r="AE50" s="23">
        <v>291019.77</v>
      </c>
      <c r="AF50" s="23"/>
      <c r="AG50" s="23"/>
      <c r="AH50" s="23"/>
      <c r="AI50" s="16">
        <f>696234.36+399212.22</f>
        <v>1095446.58</v>
      </c>
      <c r="AJ50" s="16"/>
      <c r="AK50" s="16"/>
      <c r="AL50" s="16"/>
      <c r="AM50" s="16">
        <v>484362.5</v>
      </c>
      <c r="AN50" s="16"/>
      <c r="AO50" s="16"/>
      <c r="AP50" s="16"/>
      <c r="AQ50" s="24"/>
      <c r="AR50" s="24"/>
    </row>
    <row r="51" spans="1:44" ht="45" customHeight="1" x14ac:dyDescent="0.25">
      <c r="A51" s="109" t="s">
        <v>9</v>
      </c>
      <c r="B51" s="110"/>
      <c r="C51" s="2">
        <v>0</v>
      </c>
      <c r="D51" s="2"/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6"/>
      <c r="AB51" s="23"/>
      <c r="AC51" s="16">
        <v>319439.09000000003</v>
      </c>
      <c r="AD51" s="13"/>
      <c r="AE51" s="23">
        <v>343625.38</v>
      </c>
      <c r="AF51" s="23"/>
      <c r="AG51" s="23"/>
      <c r="AH51" s="23"/>
      <c r="AI51" s="16">
        <f>340695.57+232187.93</f>
        <v>572883.5</v>
      </c>
      <c r="AJ51" s="16"/>
      <c r="AK51" s="16"/>
      <c r="AL51" s="16"/>
      <c r="AM51" s="16">
        <v>229093.49</v>
      </c>
      <c r="AN51" s="16"/>
      <c r="AO51" s="16"/>
      <c r="AP51" s="16"/>
      <c r="AQ51" s="24"/>
      <c r="AR51" s="24"/>
    </row>
    <row r="52" spans="1:44" x14ac:dyDescent="0.25">
      <c r="A52" s="109" t="s">
        <v>10</v>
      </c>
      <c r="B52" s="1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6">
        <v>212331.61</v>
      </c>
      <c r="AB52" s="16"/>
      <c r="AC52" s="16"/>
      <c r="AD52" s="13"/>
      <c r="AE52" s="23"/>
      <c r="AF52" s="23"/>
      <c r="AG52" s="23"/>
      <c r="AH52" s="23"/>
      <c r="AI52" s="16"/>
      <c r="AJ52" s="16"/>
      <c r="AK52" s="16"/>
      <c r="AL52" s="16"/>
      <c r="AM52" s="16"/>
      <c r="AN52" s="16"/>
      <c r="AO52" s="16"/>
      <c r="AP52" s="16"/>
      <c r="AQ52" s="24"/>
      <c r="AR52" s="24"/>
    </row>
    <row r="53" spans="1:44" ht="28.5" customHeight="1" x14ac:dyDescent="0.25">
      <c r="A53" s="109" t="s">
        <v>16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6"/>
      <c r="AJ53" s="16"/>
      <c r="AK53" s="16"/>
      <c r="AL53" s="16"/>
      <c r="AM53" s="13"/>
      <c r="AN53" s="13"/>
      <c r="AO53" s="13"/>
      <c r="AP53" s="13"/>
      <c r="AQ53" s="31"/>
      <c r="AR53" s="31"/>
    </row>
    <row r="54" spans="1:44" x14ac:dyDescent="0.25">
      <c r="A54" s="111" t="s">
        <v>19</v>
      </c>
      <c r="B54" s="112"/>
      <c r="C54" s="115">
        <v>24738.76</v>
      </c>
      <c r="D54" s="115">
        <f t="shared" ref="D54:Z54" si="10">SUM(D56:D60)</f>
        <v>0</v>
      </c>
      <c r="E54" s="115">
        <f t="shared" si="10"/>
        <v>162585.41</v>
      </c>
      <c r="F54" s="115">
        <f t="shared" si="10"/>
        <v>0</v>
      </c>
      <c r="G54" s="115">
        <f t="shared" si="10"/>
        <v>2836261.8599999994</v>
      </c>
      <c r="H54" s="115">
        <f t="shared" si="10"/>
        <v>179639.45</v>
      </c>
      <c r="I54" s="115">
        <f t="shared" si="10"/>
        <v>2968161.5</v>
      </c>
      <c r="J54" s="115">
        <f t="shared" si="10"/>
        <v>179639.45</v>
      </c>
      <c r="K54" s="115">
        <f t="shared" si="10"/>
        <v>3579888.6599999997</v>
      </c>
      <c r="L54" s="115">
        <f t="shared" si="10"/>
        <v>179639.45</v>
      </c>
      <c r="M54" s="115">
        <f t="shared" si="10"/>
        <v>2288254.44</v>
      </c>
      <c r="N54" s="115">
        <f t="shared" si="10"/>
        <v>179639.45</v>
      </c>
      <c r="O54" s="115">
        <f t="shared" si="10"/>
        <v>2699902.61</v>
      </c>
      <c r="P54" s="115">
        <f t="shared" si="10"/>
        <v>179639.45</v>
      </c>
      <c r="Q54" s="115">
        <f t="shared" si="10"/>
        <v>2782603.59</v>
      </c>
      <c r="R54" s="115">
        <f t="shared" si="10"/>
        <v>179639.45</v>
      </c>
      <c r="S54" s="115">
        <f t="shared" si="10"/>
        <v>2615855.7999999998</v>
      </c>
      <c r="T54" s="115">
        <f t="shared" si="10"/>
        <v>179639.45</v>
      </c>
      <c r="U54" s="115">
        <f t="shared" si="10"/>
        <v>2483055.5499999998</v>
      </c>
      <c r="V54" s="115">
        <f t="shared" si="10"/>
        <v>142806.04</v>
      </c>
      <c r="W54" s="115">
        <f t="shared" si="10"/>
        <v>2680559.16</v>
      </c>
      <c r="X54" s="115">
        <f t="shared" si="10"/>
        <v>142806.04</v>
      </c>
      <c r="Y54" s="115">
        <f t="shared" si="10"/>
        <v>79878.12999999999</v>
      </c>
      <c r="Z54" s="115">
        <f t="shared" si="10"/>
        <v>0</v>
      </c>
      <c r="AA54" s="128">
        <f>SUM(AA56:AA60)</f>
        <v>2592606.9299999997</v>
      </c>
      <c r="AB54" s="128">
        <f>SUM(AB56:AB60)</f>
        <v>0</v>
      </c>
      <c r="AC54" s="128">
        <f>SUM(AC56:AC60)</f>
        <v>4410926.9800000004</v>
      </c>
      <c r="AD54" s="128">
        <f>SUM(AD56:AD60)</f>
        <v>1508980.59</v>
      </c>
      <c r="AE54" s="126">
        <f t="shared" ref="AE54:AJ54" si="11">AE56+AE57+AE58+AE59+AE60</f>
        <v>6043790.8399999999</v>
      </c>
      <c r="AF54" s="126">
        <f t="shared" si="11"/>
        <v>5996669.2400000002</v>
      </c>
      <c r="AG54" s="126">
        <f t="shared" si="11"/>
        <v>1880593.8800000001</v>
      </c>
      <c r="AH54" s="126">
        <f t="shared" si="11"/>
        <v>1880593.88</v>
      </c>
      <c r="AI54" s="122">
        <f t="shared" si="11"/>
        <v>4401686.4800000004</v>
      </c>
      <c r="AJ54" s="122">
        <f t="shared" si="11"/>
        <v>4300435.1999999993</v>
      </c>
      <c r="AK54" s="122">
        <v>0</v>
      </c>
      <c r="AL54" s="122">
        <v>0</v>
      </c>
      <c r="AM54" s="122">
        <f>AM56+AM57+AM58+AM59+AM60</f>
        <v>5541568.0600000005</v>
      </c>
      <c r="AN54" s="122">
        <f>AN56+AN57+AN58+AN59+AN60</f>
        <v>0</v>
      </c>
      <c r="AO54" s="122">
        <f>AO56+AO57+AO58+AO59+AO60</f>
        <v>0</v>
      </c>
      <c r="AP54" s="122">
        <f>AP56+AP57+AP58+AP59+AP60</f>
        <v>0</v>
      </c>
      <c r="AQ54" s="116">
        <f>AM54/AI54-1</f>
        <v>0.2589647366252219</v>
      </c>
      <c r="AR54" s="116" t="e">
        <f>AO54/AK54-1</f>
        <v>#DIV/0!</v>
      </c>
    </row>
    <row r="55" spans="1:44" x14ac:dyDescent="0.25">
      <c r="A55" s="113"/>
      <c r="B55" s="11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5"/>
      <c r="AB55" s="125"/>
      <c r="AC55" s="125"/>
      <c r="AD55" s="125"/>
      <c r="AE55" s="127"/>
      <c r="AF55" s="127"/>
      <c r="AG55" s="127"/>
      <c r="AH55" s="127"/>
      <c r="AI55" s="123"/>
      <c r="AJ55" s="123"/>
      <c r="AK55" s="123"/>
      <c r="AL55" s="123"/>
      <c r="AM55" s="123"/>
      <c r="AN55" s="123"/>
      <c r="AO55" s="123"/>
      <c r="AP55" s="123"/>
      <c r="AQ55" s="117"/>
      <c r="AR55" s="117"/>
    </row>
    <row r="56" spans="1:44" ht="44.25" customHeight="1" x14ac:dyDescent="0.25">
      <c r="A56" s="109" t="s">
        <v>11</v>
      </c>
      <c r="B56" s="110"/>
      <c r="C56" s="2"/>
      <c r="D56" s="2"/>
      <c r="E56" s="2">
        <v>162585.41</v>
      </c>
      <c r="F56" s="2"/>
      <c r="G56" s="2">
        <f>410855.69+138863.03</f>
        <v>549718.72</v>
      </c>
      <c r="H56" s="2">
        <v>179639.45</v>
      </c>
      <c r="I56" s="2">
        <f>349786.74+482870.23</f>
        <v>832656.97</v>
      </c>
      <c r="J56" s="2">
        <v>179639.45</v>
      </c>
      <c r="K56" s="2">
        <f>325550.4+256894.84</f>
        <v>582445.24</v>
      </c>
      <c r="L56" s="2">
        <v>179639.45</v>
      </c>
      <c r="M56" s="2">
        <f>32098.35+367708.31</f>
        <v>399806.66</v>
      </c>
      <c r="N56" s="2">
        <v>179639.45</v>
      </c>
      <c r="O56" s="2">
        <f>19053.66+339996.73</f>
        <v>359050.38999999996</v>
      </c>
      <c r="P56" s="2">
        <v>179639.45</v>
      </c>
      <c r="Q56" s="2">
        <f>214101.64+184501.39</f>
        <v>398603.03</v>
      </c>
      <c r="R56" s="2">
        <v>179639.45</v>
      </c>
      <c r="S56" s="2">
        <f>293392.92+82646.26</f>
        <v>376039.18</v>
      </c>
      <c r="T56" s="2">
        <v>179639.45</v>
      </c>
      <c r="U56" s="2">
        <f>18347.3+293392.92</f>
        <v>311740.21999999997</v>
      </c>
      <c r="V56" s="2">
        <f>142806.04</f>
        <v>142806.04</v>
      </c>
      <c r="W56" s="2">
        <f>175124.05+248350.04</f>
        <v>423474.08999999997</v>
      </c>
      <c r="X56" s="2">
        <v>142806.04</v>
      </c>
      <c r="Y56" s="2">
        <v>99147.76</v>
      </c>
      <c r="Z56" s="2"/>
      <c r="AA56" s="16">
        <f>23731.53+27555.65</f>
        <v>51287.18</v>
      </c>
      <c r="AB56" s="16"/>
      <c r="AC56" s="16">
        <f>36698.81+43106.43</f>
        <v>79805.239999999991</v>
      </c>
      <c r="AD56" s="16"/>
      <c r="AE56" s="23">
        <f>AF56+16412.78</f>
        <v>238760.13999999998</v>
      </c>
      <c r="AF56" s="23">
        <f>104792.76+117554.6</f>
        <v>222347.36</v>
      </c>
      <c r="AG56" s="13"/>
      <c r="AH56" s="23"/>
      <c r="AI56" s="16">
        <f>54159.74+22819.27+80774.94</f>
        <v>157753.95000000001</v>
      </c>
      <c r="AJ56" s="29">
        <f>54159.74+22819.27</f>
        <v>76979.009999999995</v>
      </c>
      <c r="AK56" s="16"/>
      <c r="AL56" s="16"/>
      <c r="AM56" s="16">
        <f>43925.96+153933.91+15985</f>
        <v>213844.87</v>
      </c>
      <c r="AN56" s="16"/>
      <c r="AO56" s="16"/>
      <c r="AP56" s="16"/>
      <c r="AQ56" s="24"/>
      <c r="AR56" s="24"/>
    </row>
    <row r="57" spans="1:44" x14ac:dyDescent="0.25">
      <c r="A57" s="109" t="s">
        <v>8</v>
      </c>
      <c r="B57" s="110"/>
      <c r="C57" s="2"/>
      <c r="D57" s="2"/>
      <c r="E57" s="2"/>
      <c r="F57" s="2"/>
      <c r="G57" s="2">
        <f>1280106.96+331142.71</f>
        <v>1611249.67</v>
      </c>
      <c r="H57" s="2"/>
      <c r="I57" s="2">
        <f>1112706.33+292125.54</f>
        <v>1404831.87</v>
      </c>
      <c r="J57" s="2"/>
      <c r="K57" s="2">
        <f>1664826.89+424726.47</f>
        <v>2089553.3599999999</v>
      </c>
      <c r="L57" s="2"/>
      <c r="M57" s="2">
        <v>1291836.76</v>
      </c>
      <c r="N57" s="2"/>
      <c r="O57" s="2">
        <f>336869.12+1006180.12</f>
        <v>1343049.24</v>
      </c>
      <c r="P57" s="2"/>
      <c r="Q57" s="2">
        <f>290310.2+1054801</f>
        <v>1345111.2</v>
      </c>
      <c r="R57" s="2"/>
      <c r="S57" s="2">
        <f>210412.6+1031728.18</f>
        <v>1242140.78</v>
      </c>
      <c r="T57" s="2"/>
      <c r="U57" s="2">
        <f>144677.62+1051908.03</f>
        <v>1196585.6499999999</v>
      </c>
      <c r="V57" s="2"/>
      <c r="W57" s="2">
        <f>257630.31+1025805.39</f>
        <v>1283435.7</v>
      </c>
      <c r="X57" s="2"/>
      <c r="Y57" s="2"/>
      <c r="Z57" s="2"/>
      <c r="AA57" s="16">
        <f>367554.1+1092399.95</f>
        <v>1459954.0499999998</v>
      </c>
      <c r="AB57" s="16"/>
      <c r="AC57" s="16">
        <f>413160.07+976030.95</f>
        <v>1389191.02</v>
      </c>
      <c r="AD57" s="16"/>
      <c r="AE57" s="23">
        <f>AF57+20410</f>
        <v>1483828.69</v>
      </c>
      <c r="AF57" s="23">
        <f>399447.7+1063970.99</f>
        <v>1463418.69</v>
      </c>
      <c r="AG57" s="13"/>
      <c r="AH57" s="23"/>
      <c r="AI57" s="16">
        <f>399497.7+11131.38+1854102.36</f>
        <v>2264731.44</v>
      </c>
      <c r="AJ57" s="16">
        <f>399497.7+1854102.36</f>
        <v>2253600.06</v>
      </c>
      <c r="AK57" s="16"/>
      <c r="AL57" s="16"/>
      <c r="AM57" s="16">
        <f>399597.7+2840800+11081.38</f>
        <v>3251479.08</v>
      </c>
      <c r="AN57" s="16"/>
      <c r="AO57" s="16"/>
      <c r="AP57" s="16"/>
      <c r="AQ57" s="24"/>
      <c r="AR57" s="24"/>
    </row>
    <row r="58" spans="1:44" ht="43.5" customHeight="1" x14ac:dyDescent="0.25">
      <c r="A58" s="109" t="s">
        <v>9</v>
      </c>
      <c r="B58" s="110"/>
      <c r="C58" s="2"/>
      <c r="D58" s="2"/>
      <c r="E58" s="2"/>
      <c r="F58" s="2"/>
      <c r="G58" s="2">
        <f>191330.96+483962.51</f>
        <v>675293.47</v>
      </c>
      <c r="H58" s="2"/>
      <c r="I58" s="2">
        <f>171605.74+559066.92</f>
        <v>730672.66</v>
      </c>
      <c r="J58" s="2"/>
      <c r="K58" s="2">
        <f>209944.24+697945.82</f>
        <v>907890.05999999994</v>
      </c>
      <c r="L58" s="2"/>
      <c r="M58" s="2">
        <v>596611.02</v>
      </c>
      <c r="N58" s="2"/>
      <c r="O58" s="2">
        <f>198862.88+580042.1</f>
        <v>778904.98</v>
      </c>
      <c r="P58" s="2"/>
      <c r="Q58" s="2">
        <f>612669.18+219338.18</f>
        <v>832007.3600000001</v>
      </c>
      <c r="R58" s="2"/>
      <c r="S58" s="2">
        <f>201317.46+630998.38</f>
        <v>832315.84</v>
      </c>
      <c r="T58" s="2"/>
      <c r="U58" s="2">
        <f>184341.93+601701.1</f>
        <v>786043.03</v>
      </c>
      <c r="V58" s="2"/>
      <c r="W58" s="2">
        <f>177715.19+604861.18</f>
        <v>782576.37000000011</v>
      </c>
      <c r="X58" s="2"/>
      <c r="Y58" s="2">
        <v>-9193.7999999999993</v>
      </c>
      <c r="Z58" s="2"/>
      <c r="AA58" s="16">
        <f>254861.86+627161.14</f>
        <v>882023</v>
      </c>
      <c r="AB58" s="16"/>
      <c r="AC58" s="16">
        <f>363441.69+1320113.41</f>
        <v>1683555.0999999999</v>
      </c>
      <c r="AD58" s="16">
        <f>20923.56+643955.03</f>
        <v>664878.59000000008</v>
      </c>
      <c r="AE58" s="23">
        <f>AF58+9183.82</f>
        <v>2863942.15</v>
      </c>
      <c r="AF58" s="23">
        <f>469042.19+2385716.14</f>
        <v>2854758.33</v>
      </c>
      <c r="AG58" s="23">
        <v>1220473.1200000001</v>
      </c>
      <c r="AH58" s="23">
        <f>147655.46+1072817.66</f>
        <v>1220473.1199999999</v>
      </c>
      <c r="AI58" s="16">
        <f>283794.68+8867.96+960334.11</f>
        <v>1252996.75</v>
      </c>
      <c r="AJ58" s="16">
        <f>283794.68+960334.11</f>
        <v>1244128.79</v>
      </c>
      <c r="AK58" s="16"/>
      <c r="AL58" s="16"/>
      <c r="AM58" s="16">
        <f>257174.49+1213163.76+30859.57</f>
        <v>1501197.82</v>
      </c>
      <c r="AN58" s="16"/>
      <c r="AO58" s="16"/>
      <c r="AP58" s="16"/>
      <c r="AQ58" s="24"/>
      <c r="AR58" s="24"/>
    </row>
    <row r="59" spans="1:44" x14ac:dyDescent="0.25">
      <c r="A59" s="109" t="s">
        <v>10</v>
      </c>
      <c r="B59" s="1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218898</f>
        <v>218898</v>
      </c>
      <c r="P59" s="2"/>
      <c r="Q59" s="2">
        <v>206882</v>
      </c>
      <c r="R59" s="2"/>
      <c r="S59" s="2">
        <v>165360</v>
      </c>
      <c r="T59" s="2"/>
      <c r="U59" s="2">
        <v>188686.65</v>
      </c>
      <c r="V59" s="2"/>
      <c r="W59" s="2">
        <f>191073</f>
        <v>191073</v>
      </c>
      <c r="X59" s="2"/>
      <c r="Y59" s="2">
        <v>-12759</v>
      </c>
      <c r="Z59" s="2"/>
      <c r="AA59" s="16"/>
      <c r="AB59" s="16"/>
      <c r="AC59" s="16"/>
      <c r="AD59" s="16"/>
      <c r="AE59" s="23">
        <f>AF59+1115</f>
        <v>94671.360000000001</v>
      </c>
      <c r="AF59" s="23">
        <v>93556.36</v>
      </c>
      <c r="AG59" s="23"/>
      <c r="AH59" s="23"/>
      <c r="AI59" s="16">
        <f>92285.57+477</f>
        <v>92762.57</v>
      </c>
      <c r="AJ59" s="16">
        <v>92285.57</v>
      </c>
      <c r="AK59" s="16"/>
      <c r="AL59" s="16"/>
      <c r="AM59" s="16">
        <f>119356.57+170</f>
        <v>119526.57</v>
      </c>
      <c r="AN59" s="16"/>
      <c r="AO59" s="16"/>
      <c r="AP59" s="16"/>
      <c r="AQ59" s="24"/>
      <c r="AR59" s="24"/>
    </row>
    <row r="60" spans="1:44" ht="30.75" customHeight="1" x14ac:dyDescent="0.25">
      <c r="A60" s="109" t="s">
        <v>16</v>
      </c>
      <c r="B60" s="1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2683.17</v>
      </c>
      <c r="Z60" s="2"/>
      <c r="AA60" s="16">
        <v>199342.7</v>
      </c>
      <c r="AB60" s="16"/>
      <c r="AC60" s="16">
        <f>1258375.62</f>
        <v>1258375.6200000001</v>
      </c>
      <c r="AD60" s="16">
        <v>844102</v>
      </c>
      <c r="AE60" s="23">
        <f>AF60</f>
        <v>1362588.5</v>
      </c>
      <c r="AF60" s="23">
        <v>1362588.5</v>
      </c>
      <c r="AG60" s="23">
        <v>660120.76</v>
      </c>
      <c r="AH60" s="23">
        <v>660120.76</v>
      </c>
      <c r="AI60" s="16">
        <f>633441.77</f>
        <v>633441.77</v>
      </c>
      <c r="AJ60" s="16">
        <v>633441.77</v>
      </c>
      <c r="AK60" s="16"/>
      <c r="AL60" s="16"/>
      <c r="AM60" s="16">
        <v>455519.72</v>
      </c>
      <c r="AN60" s="16"/>
      <c r="AO60" s="16"/>
      <c r="AP60" s="16"/>
      <c r="AQ60" s="24"/>
      <c r="AR60" s="24"/>
    </row>
    <row r="61" spans="1:44" x14ac:dyDescent="0.25">
      <c r="A61" s="111" t="s">
        <v>17</v>
      </c>
      <c r="B61" s="112"/>
      <c r="C61" s="115">
        <v>10765845.27</v>
      </c>
      <c r="D61" s="115">
        <v>7171240.7400000002</v>
      </c>
      <c r="E61" s="115">
        <f>SUM(E63:E67)</f>
        <v>13066265.32</v>
      </c>
      <c r="F61" s="115">
        <f>SUM(F63:F67)</f>
        <v>9363054.25</v>
      </c>
      <c r="G61" s="115">
        <f t="shared" ref="G61:AC61" si="12">SUM(G63:G67)</f>
        <v>12452961.670000002</v>
      </c>
      <c r="H61" s="115">
        <f t="shared" si="12"/>
        <v>10697359.270000001</v>
      </c>
      <c r="I61" s="115">
        <f t="shared" si="12"/>
        <v>10509503.82</v>
      </c>
      <c r="J61" s="115">
        <f t="shared" si="12"/>
        <v>9311032.910000002</v>
      </c>
      <c r="K61" s="115">
        <f t="shared" si="12"/>
        <v>9816963.7700000014</v>
      </c>
      <c r="L61" s="115">
        <f t="shared" si="12"/>
        <v>9514146.0000000019</v>
      </c>
      <c r="M61" s="115">
        <f t="shared" si="12"/>
        <v>10491903.119999999</v>
      </c>
      <c r="N61" s="115">
        <f t="shared" si="12"/>
        <v>10223094.629999999</v>
      </c>
      <c r="O61" s="115">
        <f t="shared" si="12"/>
        <v>11041075.82</v>
      </c>
      <c r="P61" s="115">
        <f t="shared" si="12"/>
        <v>9852688.540000001</v>
      </c>
      <c r="Q61" s="115">
        <f t="shared" si="12"/>
        <v>11491967.560000001</v>
      </c>
      <c r="R61" s="115">
        <f t="shared" si="12"/>
        <v>9865070.0600000005</v>
      </c>
      <c r="S61" s="115">
        <f t="shared" si="12"/>
        <v>12060303.5</v>
      </c>
      <c r="T61" s="115">
        <f t="shared" si="12"/>
        <v>10862190.040000001</v>
      </c>
      <c r="U61" s="115">
        <f t="shared" si="12"/>
        <v>11619250.300000001</v>
      </c>
      <c r="V61" s="115">
        <f t="shared" si="12"/>
        <v>9816511.040000001</v>
      </c>
      <c r="W61" s="115">
        <f t="shared" si="12"/>
        <v>11514591.1</v>
      </c>
      <c r="X61" s="115">
        <f t="shared" si="12"/>
        <v>10293165.02</v>
      </c>
      <c r="Y61" s="115">
        <f t="shared" si="12"/>
        <v>14972637.870000001</v>
      </c>
      <c r="Z61" s="115">
        <f t="shared" si="12"/>
        <v>11006589.689999999</v>
      </c>
      <c r="AA61" s="128">
        <f t="shared" si="12"/>
        <v>11434380.700000001</v>
      </c>
      <c r="AB61" s="128">
        <f t="shared" si="12"/>
        <v>1118646.56</v>
      </c>
      <c r="AC61" s="128">
        <f t="shared" si="12"/>
        <v>20378851.969999999</v>
      </c>
      <c r="AD61" s="128">
        <f t="shared" ref="AD61:AK61" si="13">AD63+AD64+AD65+AD66+AD67</f>
        <v>6845671.4899999993</v>
      </c>
      <c r="AE61" s="126">
        <f t="shared" si="13"/>
        <v>21821924</v>
      </c>
      <c r="AF61" s="126">
        <f t="shared" si="13"/>
        <v>1624721</v>
      </c>
      <c r="AG61" s="126">
        <f t="shared" si="13"/>
        <v>8640587.1999999993</v>
      </c>
      <c r="AH61" s="126">
        <f t="shared" si="13"/>
        <v>0</v>
      </c>
      <c r="AI61" s="122">
        <f t="shared" si="13"/>
        <v>16329235.25</v>
      </c>
      <c r="AJ61" s="122">
        <v>0</v>
      </c>
      <c r="AK61" s="122">
        <f t="shared" si="13"/>
        <v>5018242.82</v>
      </c>
      <c r="AL61" s="122">
        <v>0</v>
      </c>
      <c r="AM61" s="122">
        <f>AM63+AM64+AM65+AM66+AM67</f>
        <v>11485051.780000001</v>
      </c>
      <c r="AN61" s="122"/>
      <c r="AO61" s="122">
        <f>AO63+AO64+AO65+AO66+AO67</f>
        <v>0</v>
      </c>
      <c r="AP61" s="122">
        <f>AP63+AP64+AP65+AP66+AP67</f>
        <v>0</v>
      </c>
      <c r="AQ61" s="116">
        <f>AM61/AI61-1</f>
        <v>-0.29665709360148995</v>
      </c>
      <c r="AR61" s="116">
        <f>AO61/AK61-1</f>
        <v>-1</v>
      </c>
    </row>
    <row r="62" spans="1:44" x14ac:dyDescent="0.25">
      <c r="A62" s="113"/>
      <c r="B62" s="11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25"/>
      <c r="AB62" s="125"/>
      <c r="AC62" s="125"/>
      <c r="AD62" s="125"/>
      <c r="AE62" s="127"/>
      <c r="AF62" s="127"/>
      <c r="AG62" s="127"/>
      <c r="AH62" s="127"/>
      <c r="AI62" s="123"/>
      <c r="AJ62" s="123"/>
      <c r="AK62" s="123"/>
      <c r="AL62" s="123"/>
      <c r="AM62" s="123"/>
      <c r="AN62" s="123"/>
      <c r="AO62" s="123"/>
      <c r="AP62" s="123"/>
      <c r="AQ62" s="117"/>
      <c r="AR62" s="117"/>
    </row>
    <row r="63" spans="1:44" ht="44.25" customHeight="1" x14ac:dyDescent="0.25">
      <c r="A63" s="109" t="s">
        <v>11</v>
      </c>
      <c r="B63" s="110"/>
      <c r="C63" s="2"/>
      <c r="D63" s="2"/>
      <c r="E63" s="2">
        <v>1445875.56</v>
      </c>
      <c r="F63" s="2">
        <v>504057.32</v>
      </c>
      <c r="G63" s="2">
        <f>15780.83+1401592.32</f>
        <v>1417373.1500000001</v>
      </c>
      <c r="H63" s="2">
        <f>497307.75</f>
        <v>497307.75</v>
      </c>
      <c r="I63" s="2">
        <f>14359.15+1094634.15</f>
        <v>1108993.2999999998</v>
      </c>
      <c r="J63" s="2">
        <v>581610.39</v>
      </c>
      <c r="K63" s="2">
        <f>45290.3+812014.95</f>
        <v>857305.25</v>
      </c>
      <c r="L63" s="2">
        <v>554487.48</v>
      </c>
      <c r="M63" s="2">
        <f>22392+828113.09</f>
        <v>850505.09</v>
      </c>
      <c r="N63" s="2">
        <f>581696.6</f>
        <v>581696.6</v>
      </c>
      <c r="O63" s="2">
        <f>24207.15+1590490.12</f>
        <v>1614697.27</v>
      </c>
      <c r="P63" s="2">
        <f>484794.48</f>
        <v>484794.48</v>
      </c>
      <c r="Q63" s="2">
        <v>1906086.62</v>
      </c>
      <c r="R63" s="2"/>
      <c r="S63" s="2">
        <f>23600.15+1705289.54</f>
        <v>1728889.69</v>
      </c>
      <c r="T63" s="2">
        <v>530776.23</v>
      </c>
      <c r="U63" s="2">
        <f>2268996.34+30919.15</f>
        <v>2299915.4899999998</v>
      </c>
      <c r="V63" s="2">
        <v>497176.23</v>
      </c>
      <c r="W63" s="2">
        <f>2127960.81+48959.2</f>
        <v>2176920.0100000002</v>
      </c>
      <c r="X63" s="2">
        <v>955493.93</v>
      </c>
      <c r="Y63" s="2">
        <v>2219644.2799999998</v>
      </c>
      <c r="Z63" s="2">
        <f>782752.86</f>
        <v>782752.86</v>
      </c>
      <c r="AA63" s="16">
        <f>25455.33+3676740.99</f>
        <v>3702196.3200000003</v>
      </c>
      <c r="AB63" s="16">
        <v>370926</v>
      </c>
      <c r="AC63" s="16">
        <f>25119.87+10218497.79</f>
        <v>10243617.659999998</v>
      </c>
      <c r="AD63" s="16">
        <v>3812324.48</v>
      </c>
      <c r="AE63" s="23">
        <f>92866+7505896.09</f>
        <v>7598762.0899999999</v>
      </c>
      <c r="AF63" s="23">
        <v>1624721</v>
      </c>
      <c r="AG63" s="23">
        <v>1546341.78</v>
      </c>
      <c r="AH63" s="13"/>
      <c r="AI63" s="16">
        <f>36469.87+5446750.25</f>
        <v>5483220.1200000001</v>
      </c>
      <c r="AJ63" s="33">
        <v>0</v>
      </c>
      <c r="AK63" s="16">
        <v>2700000</v>
      </c>
      <c r="AL63" s="16">
        <v>0</v>
      </c>
      <c r="AM63" s="16">
        <f>10710.07+2822965.23</f>
        <v>2833675.3</v>
      </c>
      <c r="AN63" s="16"/>
      <c r="AO63" s="16"/>
      <c r="AP63" s="16"/>
      <c r="AQ63" s="24"/>
      <c r="AR63" s="24"/>
    </row>
    <row r="64" spans="1:44" x14ac:dyDescent="0.25">
      <c r="A64" s="109" t="s">
        <v>8</v>
      </c>
      <c r="B64" s="1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107414.79</v>
      </c>
      <c r="R64" s="2"/>
      <c r="S64" s="2"/>
      <c r="T64" s="2"/>
      <c r="U64" s="2"/>
      <c r="V64" s="2"/>
      <c r="W64" s="2"/>
      <c r="X64" s="2"/>
      <c r="Y64" s="2"/>
      <c r="Z64" s="2"/>
      <c r="AA64" s="16">
        <f>240366.78+3338386.23</f>
        <v>3578753.01</v>
      </c>
      <c r="AB64" s="16"/>
      <c r="AC64" s="16">
        <f>213303.85+3570475.36</f>
        <v>3783779.21</v>
      </c>
      <c r="AD64" s="16"/>
      <c r="AE64" s="23">
        <f>1048316.56+3892857.12</f>
        <v>4941173.68</v>
      </c>
      <c r="AF64" s="13"/>
      <c r="AG64" s="23"/>
      <c r="AH64" s="13"/>
      <c r="AI64" s="16">
        <f>1013379.37+4504888.09</f>
        <v>5518267.46</v>
      </c>
      <c r="AJ64" s="16"/>
      <c r="AK64" s="16"/>
      <c r="AL64" s="16"/>
      <c r="AM64" s="16">
        <f>1131560.79+5170327.87</f>
        <v>6301888.6600000001</v>
      </c>
      <c r="AN64" s="16"/>
      <c r="AO64" s="16"/>
      <c r="AP64" s="16"/>
      <c r="AQ64" s="24"/>
      <c r="AR64" s="24"/>
    </row>
    <row r="65" spans="1:44" ht="44.25" customHeight="1" x14ac:dyDescent="0.25">
      <c r="A65" s="109" t="s">
        <v>9</v>
      </c>
      <c r="B65" s="110"/>
      <c r="C65" s="2"/>
      <c r="D65" s="2"/>
      <c r="E65" s="2">
        <v>1463841.51</v>
      </c>
      <c r="F65" s="2"/>
      <c r="G65" s="2">
        <v>166700</v>
      </c>
      <c r="H65" s="2"/>
      <c r="I65" s="2"/>
      <c r="J65" s="2"/>
      <c r="K65" s="2"/>
      <c r="L65" s="2"/>
      <c r="M65" s="2"/>
      <c r="N65" s="2"/>
      <c r="O65" s="2">
        <v>27151.16</v>
      </c>
      <c r="P65" s="2"/>
      <c r="Q65" s="2">
        <v>78572.100000000006</v>
      </c>
      <c r="R65" s="2"/>
      <c r="S65" s="2"/>
      <c r="T65" s="2"/>
      <c r="U65" s="2"/>
      <c r="V65" s="2"/>
      <c r="W65" s="2"/>
      <c r="X65" s="2"/>
      <c r="Y65" s="2">
        <v>1439851.12</v>
      </c>
      <c r="Z65" s="2"/>
      <c r="AA65" s="16">
        <f>182858.49+1828141.64</f>
        <v>2011000.13</v>
      </c>
      <c r="AB65" s="16"/>
      <c r="AC65" s="16">
        <f>194574.38+2050743.86</f>
        <v>2245318.2400000002</v>
      </c>
      <c r="AD65" s="16"/>
      <c r="AE65" s="23">
        <f>763510.32+2959710.97+0.85</f>
        <v>3723222.14</v>
      </c>
      <c r="AF65" s="13"/>
      <c r="AG65" s="23">
        <f>317932.16+1222488.09</f>
        <v>1540420.25</v>
      </c>
      <c r="AH65" s="13"/>
      <c r="AI65" s="16">
        <f>840855.82+2166721.03</f>
        <v>3007576.8499999996</v>
      </c>
      <c r="AJ65" s="16"/>
      <c r="AK65" s="16"/>
      <c r="AL65" s="16"/>
      <c r="AM65" s="16">
        <f>482166.78+1867321.04</f>
        <v>2349487.8200000003</v>
      </c>
      <c r="AN65" s="16"/>
      <c r="AO65" s="16"/>
      <c r="AP65" s="16"/>
      <c r="AQ65" s="24"/>
      <c r="AR65" s="24"/>
    </row>
    <row r="66" spans="1:44" x14ac:dyDescent="0.25">
      <c r="A66" s="109" t="s">
        <v>10</v>
      </c>
      <c r="B66" s="110"/>
      <c r="C66" s="2"/>
      <c r="D66" s="2"/>
      <c r="E66" s="2">
        <v>10156548.25</v>
      </c>
      <c r="F66" s="2">
        <v>8858996.9299999997</v>
      </c>
      <c r="G66" s="2">
        <f>317.3+10868571.22</f>
        <v>10868888.520000001</v>
      </c>
      <c r="H66" s="2">
        <f>10199734.22+317.3</f>
        <v>10200051.520000001</v>
      </c>
      <c r="I66" s="2">
        <f>317.3+9400193.22</f>
        <v>9400510.5200000014</v>
      </c>
      <c r="J66" s="2">
        <f>317.3+8729105.22</f>
        <v>8729422.5200000014</v>
      </c>
      <c r="K66" s="2">
        <f>317.3+8959341.22</f>
        <v>8959658.5200000014</v>
      </c>
      <c r="L66" s="2">
        <f>317.3+8959341.22</f>
        <v>8959658.5200000014</v>
      </c>
      <c r="M66" s="2">
        <v>9641398.0299999993</v>
      </c>
      <c r="N66" s="2">
        <v>9641398.0299999993</v>
      </c>
      <c r="O66" s="2">
        <f>9367894.06</f>
        <v>9367894.0600000005</v>
      </c>
      <c r="P66" s="2">
        <f>9367894.06</f>
        <v>9367894.0600000005</v>
      </c>
      <c r="Q66" s="2">
        <f>9367894.06</f>
        <v>9367894.0600000005</v>
      </c>
      <c r="R66" s="2">
        <v>9865070.0600000005</v>
      </c>
      <c r="S66" s="2">
        <v>10331413.810000001</v>
      </c>
      <c r="T66" s="2">
        <v>10331413.810000001</v>
      </c>
      <c r="U66" s="2">
        <v>9319334.8100000005</v>
      </c>
      <c r="V66" s="2">
        <v>9319334.8100000005</v>
      </c>
      <c r="W66" s="2">
        <f>9337671.09</f>
        <v>9337671.0899999999</v>
      </c>
      <c r="X66" s="2">
        <v>9337671.0899999999</v>
      </c>
      <c r="Y66" s="2">
        <v>11178667.26</v>
      </c>
      <c r="Z66" s="2">
        <v>10089361.619999999</v>
      </c>
      <c r="AA66" s="16">
        <f>41557.97+1353152.71</f>
        <v>1394710.68</v>
      </c>
      <c r="AB66" s="16"/>
      <c r="AC66" s="16">
        <f>79834.83+2444326.98</f>
        <v>2524161.81</v>
      </c>
      <c r="AD66" s="16">
        <v>1451371.96</v>
      </c>
      <c r="AE66" s="23">
        <f>15039+567180.92</f>
        <v>582219.92000000004</v>
      </c>
      <c r="AF66" s="13"/>
      <c r="AG66" s="23">
        <f>15039+562240</f>
        <v>577279</v>
      </c>
      <c r="AH66" s="13"/>
      <c r="AI66" s="16">
        <v>497002</v>
      </c>
      <c r="AJ66" s="16"/>
      <c r="AK66" s="16">
        <v>495074</v>
      </c>
      <c r="AL66" s="16"/>
      <c r="AM66" s="16"/>
      <c r="AN66" s="16"/>
      <c r="AO66" s="16"/>
      <c r="AP66" s="16"/>
      <c r="AQ66" s="24"/>
      <c r="AR66" s="24"/>
    </row>
    <row r="67" spans="1:44" ht="28.5" customHeight="1" x14ac:dyDescent="0.25">
      <c r="A67" s="109" t="s">
        <v>16</v>
      </c>
      <c r="B67" s="1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31333.33</v>
      </c>
      <c r="P67" s="2"/>
      <c r="Q67" s="2">
        <v>31999.99</v>
      </c>
      <c r="R67" s="2"/>
      <c r="S67" s="2"/>
      <c r="T67" s="2"/>
      <c r="U67" s="2"/>
      <c r="V67" s="2"/>
      <c r="W67" s="2"/>
      <c r="X67" s="2"/>
      <c r="Y67" s="2">
        <v>134475.21</v>
      </c>
      <c r="Z67" s="2">
        <v>134475.21</v>
      </c>
      <c r="AA67" s="16">
        <v>747720.56</v>
      </c>
      <c r="AB67" s="16">
        <v>747720.56</v>
      </c>
      <c r="AC67" s="16">
        <v>1581975.05</v>
      </c>
      <c r="AD67" s="16">
        <v>1581975.05</v>
      </c>
      <c r="AE67" s="23">
        <v>4976546.17</v>
      </c>
      <c r="AF67" s="13"/>
      <c r="AG67" s="23">
        <v>4976546.17</v>
      </c>
      <c r="AH67" s="13"/>
      <c r="AI67" s="16">
        <v>1823168.82</v>
      </c>
      <c r="AJ67" s="16"/>
      <c r="AK67" s="16">
        <v>1823168.82</v>
      </c>
      <c r="AL67" s="16"/>
      <c r="AM67" s="13"/>
      <c r="AN67" s="13"/>
      <c r="AO67" s="13"/>
      <c r="AP67" s="13"/>
      <c r="AQ67" s="31"/>
      <c r="AR67" s="31"/>
    </row>
    <row r="68" spans="1:44" ht="0.75" hidden="1" customHeight="1" x14ac:dyDescent="0.25">
      <c r="A68" s="111" t="s">
        <v>4</v>
      </c>
      <c r="B68" s="112"/>
      <c r="C68" s="115">
        <v>654159.29</v>
      </c>
      <c r="D68" s="115">
        <f>SUM(D70:D74)</f>
        <v>0</v>
      </c>
      <c r="E68" s="115">
        <f t="shared" ref="E68:Z68" si="14">SUM(E70:E74)</f>
        <v>159427.71</v>
      </c>
      <c r="F68" s="115">
        <f t="shared" si="14"/>
        <v>156150</v>
      </c>
      <c r="G68" s="115">
        <f t="shared" si="14"/>
        <v>166323.26</v>
      </c>
      <c r="H68" s="115">
        <f t="shared" si="14"/>
        <v>156150</v>
      </c>
      <c r="I68" s="115">
        <f t="shared" si="14"/>
        <v>158187.54</v>
      </c>
      <c r="J68" s="115">
        <f t="shared" si="14"/>
        <v>156150</v>
      </c>
      <c r="K68" s="115">
        <f t="shared" si="14"/>
        <v>157389.10999999999</v>
      </c>
      <c r="L68" s="115">
        <f t="shared" si="14"/>
        <v>156150</v>
      </c>
      <c r="M68" s="115">
        <f t="shared" si="14"/>
        <v>162310.56</v>
      </c>
      <c r="N68" s="115">
        <f t="shared" si="14"/>
        <v>156150</v>
      </c>
      <c r="O68" s="115">
        <f t="shared" si="14"/>
        <v>158206.72</v>
      </c>
      <c r="P68" s="115">
        <f t="shared" si="14"/>
        <v>156150</v>
      </c>
      <c r="Q68" s="115">
        <f t="shared" si="14"/>
        <v>162910.32999999999</v>
      </c>
      <c r="R68" s="115">
        <f t="shared" si="14"/>
        <v>156150</v>
      </c>
      <c r="S68" s="115">
        <f t="shared" si="14"/>
        <v>159608.60999999999</v>
      </c>
      <c r="T68" s="115">
        <f t="shared" si="14"/>
        <v>156150</v>
      </c>
      <c r="U68" s="115">
        <f t="shared" si="14"/>
        <v>157986.35</v>
      </c>
      <c r="V68" s="115">
        <f t="shared" si="14"/>
        <v>156150</v>
      </c>
      <c r="W68" s="115">
        <f t="shared" si="14"/>
        <v>159926.9</v>
      </c>
      <c r="X68" s="115">
        <f t="shared" si="14"/>
        <v>156150</v>
      </c>
      <c r="Y68" s="115">
        <f t="shared" si="14"/>
        <v>0</v>
      </c>
      <c r="Z68" s="115">
        <f t="shared" si="14"/>
        <v>0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129">
        <f>Y68/E68-1</f>
        <v>-1</v>
      </c>
      <c r="AR68" s="129">
        <f>Z68/F68-1</f>
        <v>-1</v>
      </c>
    </row>
    <row r="69" spans="1:44" hidden="1" x14ac:dyDescent="0.25">
      <c r="A69" s="113"/>
      <c r="B69" s="11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130"/>
      <c r="AR69" s="130"/>
    </row>
    <row r="70" spans="1:44" hidden="1" x14ac:dyDescent="0.25">
      <c r="A70" s="109" t="s">
        <v>11</v>
      </c>
      <c r="B70" s="110"/>
      <c r="C70" s="2"/>
      <c r="D70" s="2"/>
      <c r="E70" s="2">
        <v>2936.71</v>
      </c>
      <c r="F70" s="2"/>
      <c r="G70" s="2">
        <v>10173.26</v>
      </c>
      <c r="H70" s="2"/>
      <c r="I70" s="2">
        <v>2037.54</v>
      </c>
      <c r="J70" s="2"/>
      <c r="K70" s="2">
        <v>1239.1099999999999</v>
      </c>
      <c r="L70" s="2"/>
      <c r="M70" s="2">
        <v>6160.56</v>
      </c>
      <c r="N70" s="2"/>
      <c r="O70" s="2">
        <v>2056.7199999999998</v>
      </c>
      <c r="P70" s="2"/>
      <c r="Q70" s="2">
        <v>4968.33</v>
      </c>
      <c r="R70" s="2"/>
      <c r="S70" s="2">
        <v>3458.61</v>
      </c>
      <c r="T70" s="2"/>
      <c r="U70" s="2">
        <v>1836.35</v>
      </c>
      <c r="V70" s="2"/>
      <c r="W70" s="2">
        <v>3776.9</v>
      </c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idden="1" x14ac:dyDescent="0.25">
      <c r="A71" s="109" t="s">
        <v>8</v>
      </c>
      <c r="B71" s="1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1"/>
      <c r="AR71" s="31"/>
    </row>
    <row r="72" spans="1:44" hidden="1" x14ac:dyDescent="0.25">
      <c r="A72" s="109" t="s">
        <v>9</v>
      </c>
      <c r="B72" s="110"/>
      <c r="C72" s="2"/>
      <c r="D72" s="2"/>
      <c r="E72" s="2">
        <v>-10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1"/>
      <c r="AR72" s="31"/>
    </row>
    <row r="73" spans="1:44" hidden="1" x14ac:dyDescent="0.25">
      <c r="A73" s="109" t="s">
        <v>10</v>
      </c>
      <c r="B73" s="110"/>
      <c r="C73" s="2"/>
      <c r="D73" s="2"/>
      <c r="E73" s="2">
        <v>351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1792</v>
      </c>
      <c r="R73" s="2"/>
      <c r="S73" s="2"/>
      <c r="T73" s="2"/>
      <c r="U73" s="2"/>
      <c r="V73" s="2"/>
      <c r="W73" s="2"/>
      <c r="X73" s="2"/>
      <c r="Y73" s="2"/>
      <c r="Z73" s="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1"/>
      <c r="AR73" s="31"/>
    </row>
    <row r="74" spans="1:44" hidden="1" x14ac:dyDescent="0.25">
      <c r="A74" s="109" t="s">
        <v>16</v>
      </c>
      <c r="B74" s="110"/>
      <c r="C74" s="2"/>
      <c r="D74" s="2"/>
      <c r="E74" s="2">
        <v>156150</v>
      </c>
      <c r="F74" s="2">
        <v>156150</v>
      </c>
      <c r="G74" s="2">
        <v>156150</v>
      </c>
      <c r="H74" s="2">
        <v>156150</v>
      </c>
      <c r="I74" s="2">
        <v>156150</v>
      </c>
      <c r="J74" s="2">
        <v>156150</v>
      </c>
      <c r="K74" s="2">
        <v>156150</v>
      </c>
      <c r="L74" s="2">
        <v>156150</v>
      </c>
      <c r="M74" s="2">
        <v>156150</v>
      </c>
      <c r="N74" s="2">
        <v>156150</v>
      </c>
      <c r="O74" s="2">
        <v>156150</v>
      </c>
      <c r="P74" s="2">
        <v>156150</v>
      </c>
      <c r="Q74" s="2">
        <v>156150</v>
      </c>
      <c r="R74" s="2">
        <v>156150</v>
      </c>
      <c r="S74" s="2">
        <v>156150</v>
      </c>
      <c r="T74" s="2">
        <v>156150</v>
      </c>
      <c r="U74" s="2">
        <v>156150</v>
      </c>
      <c r="V74" s="2">
        <v>156150</v>
      </c>
      <c r="W74" s="2">
        <v>156150</v>
      </c>
      <c r="X74" s="2">
        <v>156150</v>
      </c>
      <c r="Y74" s="2">
        <v>0</v>
      </c>
      <c r="Z74" s="2">
        <v>0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11" t="s">
        <v>18</v>
      </c>
      <c r="B75" s="112"/>
      <c r="C75" s="107">
        <v>10829169.880000001</v>
      </c>
      <c r="D75" s="107">
        <f>1640975.89+2975186.97+988391.8</f>
        <v>5604554.6600000001</v>
      </c>
      <c r="E75" s="107">
        <f>SUM(E77:E81)</f>
        <v>6197764.7700000005</v>
      </c>
      <c r="F75" s="107">
        <f>SUM(F77:F81)</f>
        <v>3749667.49</v>
      </c>
      <c r="G75" s="107">
        <f t="shared" ref="G75:AD75" si="15">SUM(G77:G81)</f>
        <v>6852948.2799999993</v>
      </c>
      <c r="H75" s="107">
        <f t="shared" si="15"/>
        <v>3749667.49</v>
      </c>
      <c r="I75" s="107">
        <f t="shared" si="15"/>
        <v>5929212.6499999994</v>
      </c>
      <c r="J75" s="107">
        <f t="shared" si="15"/>
        <v>2974471.0500000003</v>
      </c>
      <c r="K75" s="107">
        <f t="shared" si="15"/>
        <v>7559967.5599999996</v>
      </c>
      <c r="L75" s="107">
        <f t="shared" si="15"/>
        <v>2974471.0500000003</v>
      </c>
      <c r="M75" s="107">
        <f t="shared" si="15"/>
        <v>6930316.6799999997</v>
      </c>
      <c r="N75" s="107">
        <f t="shared" si="15"/>
        <v>4894294.6399999997</v>
      </c>
      <c r="O75" s="107">
        <f t="shared" si="15"/>
        <v>7219255.4799999995</v>
      </c>
      <c r="P75" s="107">
        <f t="shared" si="15"/>
        <v>4894294.6399999997</v>
      </c>
      <c r="Q75" s="107">
        <f t="shared" si="15"/>
        <v>9600917.8499999996</v>
      </c>
      <c r="R75" s="107">
        <f t="shared" si="15"/>
        <v>4651292.82</v>
      </c>
      <c r="S75" s="107">
        <f t="shared" si="15"/>
        <v>8525632.5199999996</v>
      </c>
      <c r="T75" s="107">
        <f t="shared" si="15"/>
        <v>4005766.16</v>
      </c>
      <c r="U75" s="107">
        <f t="shared" si="15"/>
        <v>10599393.380000001</v>
      </c>
      <c r="V75" s="107">
        <f t="shared" si="15"/>
        <v>1496363.55</v>
      </c>
      <c r="W75" s="107">
        <f t="shared" si="15"/>
        <v>20377243.73</v>
      </c>
      <c r="X75" s="107">
        <f t="shared" si="15"/>
        <v>1496363.55</v>
      </c>
      <c r="Y75" s="107">
        <f t="shared" si="15"/>
        <v>20412653.610000003</v>
      </c>
      <c r="Z75" s="107">
        <f t="shared" si="15"/>
        <v>13308419.82</v>
      </c>
      <c r="AA75" s="124">
        <f t="shared" si="15"/>
        <v>54055934.440000005</v>
      </c>
      <c r="AB75" s="124">
        <f t="shared" si="15"/>
        <v>17697811.539999999</v>
      </c>
      <c r="AC75" s="124">
        <f t="shared" si="15"/>
        <v>61418098.109999999</v>
      </c>
      <c r="AD75" s="124">
        <f t="shared" si="15"/>
        <v>39172056.890000001</v>
      </c>
      <c r="AE75" s="118">
        <f>AE77+AE78+AE79+AE80+AE81</f>
        <v>12238071.009999998</v>
      </c>
      <c r="AF75" s="118">
        <f>AF77+AF78+AF79+AF80+AF81</f>
        <v>4454905.63</v>
      </c>
      <c r="AG75" s="118">
        <f>AG77+AG78+AG79+AG80+AG81</f>
        <v>401041.57</v>
      </c>
      <c r="AH75" s="118">
        <f>AH77+AH78+AH79+AH80+AH81</f>
        <v>0</v>
      </c>
      <c r="AI75" s="120">
        <f>AI77+AI78+AI79+AI80+AI81</f>
        <v>75253.62</v>
      </c>
      <c r="AJ75" s="120">
        <v>0</v>
      </c>
      <c r="AK75" s="120">
        <v>0</v>
      </c>
      <c r="AL75" s="120">
        <v>0</v>
      </c>
      <c r="AM75" s="120">
        <f>AM77+AM78+AM79+AM80+AM81</f>
        <v>0</v>
      </c>
      <c r="AN75" s="120">
        <f>AN77+AN78+AN79+AN80+AN81</f>
        <v>0</v>
      </c>
      <c r="AO75" s="120">
        <f>AO77+AO78+AO79+AO80+AO81</f>
        <v>0</v>
      </c>
      <c r="AP75" s="120">
        <f>AP77+AP78+AP79+AP80+AP81</f>
        <v>0</v>
      </c>
      <c r="AQ75" s="116">
        <f>AM75/AI75-1</f>
        <v>-1</v>
      </c>
      <c r="AR75" s="116" t="e">
        <f>AO75/AK75-1</f>
        <v>#DIV/0!</v>
      </c>
    </row>
    <row r="76" spans="1:44" x14ac:dyDescent="0.25">
      <c r="A76" s="113"/>
      <c r="B76" s="11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25"/>
      <c r="AB76" s="125"/>
      <c r="AC76" s="125"/>
      <c r="AD76" s="125"/>
      <c r="AE76" s="119"/>
      <c r="AF76" s="119"/>
      <c r="AG76" s="119"/>
      <c r="AH76" s="119"/>
      <c r="AI76" s="121"/>
      <c r="AJ76" s="121"/>
      <c r="AK76" s="121"/>
      <c r="AL76" s="121"/>
      <c r="AM76" s="121"/>
      <c r="AN76" s="121"/>
      <c r="AO76" s="121"/>
      <c r="AP76" s="121"/>
      <c r="AQ76" s="117"/>
      <c r="AR76" s="117"/>
    </row>
    <row r="77" spans="1:44" ht="43.5" customHeight="1" x14ac:dyDescent="0.25">
      <c r="A77" s="109" t="s">
        <v>11</v>
      </c>
      <c r="B77" s="110"/>
      <c r="C77" s="1"/>
      <c r="D77" s="1"/>
      <c r="E77" s="1">
        <v>6195284.0800000001</v>
      </c>
      <c r="F77" s="1">
        <f>3363056.56+386610.93</f>
        <v>3749667.49</v>
      </c>
      <c r="G77" s="1">
        <f>2263909.36+4559378.25</f>
        <v>6823287.6099999994</v>
      </c>
      <c r="H77" s="1">
        <f>386610.93+3363056.56</f>
        <v>3749667.49</v>
      </c>
      <c r="I77" s="1">
        <f>1799893.76+4099496.79</f>
        <v>5899390.5499999998</v>
      </c>
      <c r="J77" s="1">
        <f>386610.93+2587860.12</f>
        <v>2974471.0500000003</v>
      </c>
      <c r="K77" s="1">
        <f>5416106.16+2141154.26+1386.18+1320.96</f>
        <v>7559967.5599999996</v>
      </c>
      <c r="L77" s="1">
        <f>2587860.12+386610.93</f>
        <v>2974471.0500000003</v>
      </c>
      <c r="M77" s="1">
        <v>6930316.6799999997</v>
      </c>
      <c r="N77" s="1">
        <v>4894294.6399999997</v>
      </c>
      <c r="O77" s="1">
        <f>1865798.47+5348998.75</f>
        <v>7214797.2199999997</v>
      </c>
      <c r="P77" s="1">
        <f>386610.93+4507683.71</f>
        <v>4894294.6399999997</v>
      </c>
      <c r="Q77" s="1">
        <v>9600917.8499999996</v>
      </c>
      <c r="R77" s="1">
        <v>4651292.82</v>
      </c>
      <c r="S77" s="1">
        <f>2951333.92+5555295.68+15251.76+3751.16</f>
        <v>8525632.5199999996</v>
      </c>
      <c r="T77" s="1">
        <f>3619155.23+386610.93</f>
        <v>4005766.16</v>
      </c>
      <c r="U77" s="1">
        <f>1992205.58+8591549.02+5323.15+10315.63</f>
        <v>10599393.380000001</v>
      </c>
      <c r="V77" s="1">
        <f>1109752.62+386610.93</f>
        <v>1496363.55</v>
      </c>
      <c r="W77" s="1">
        <f>10545735.23+9823125.67+3422.46+4960.37</f>
        <v>20377243.73</v>
      </c>
      <c r="X77" s="1">
        <f>386610.93+1109752.62</f>
        <v>1496363.55</v>
      </c>
      <c r="Y77" s="1">
        <v>20441640.960000001</v>
      </c>
      <c r="Z77" s="1">
        <v>13308419.82</v>
      </c>
      <c r="AA77" s="19">
        <f>33166250.55+116.03+20185020.65+10333.24-153588.27</f>
        <v>53208132.200000003</v>
      </c>
      <c r="AB77" s="19">
        <f>17535000.48+162811.06-153588.27</f>
        <v>17544223.27</v>
      </c>
      <c r="AC77" s="19">
        <f>44014737.97+19482.3+16465957.71</f>
        <v>60500177.979999997</v>
      </c>
      <c r="AD77" s="19">
        <f>29503554.98+9668501.91</f>
        <v>39172056.890000001</v>
      </c>
      <c r="AE77" s="28">
        <v>11770839.189999999</v>
      </c>
      <c r="AF77" s="28">
        <v>4454905.63</v>
      </c>
      <c r="AG77" s="28">
        <v>401041.57</v>
      </c>
      <c r="AH77" s="12"/>
      <c r="AI77" s="19">
        <v>75253.62</v>
      </c>
      <c r="AJ77" s="19">
        <v>0</v>
      </c>
      <c r="AK77" s="19">
        <v>0</v>
      </c>
      <c r="AL77" s="19"/>
      <c r="AM77" s="12"/>
      <c r="AN77" s="12"/>
      <c r="AO77" s="12"/>
      <c r="AP77" s="12"/>
      <c r="AQ77" s="39"/>
      <c r="AR77" s="39"/>
    </row>
    <row r="78" spans="1:44" x14ac:dyDescent="0.25">
      <c r="A78" s="109" t="s">
        <v>8</v>
      </c>
      <c r="B78" s="1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9">
        <f>174701.03+239873.77</f>
        <v>414574.8</v>
      </c>
      <c r="AB78" s="19"/>
      <c r="AC78" s="19">
        <f>340113.75+6309.58+298211.41</f>
        <v>644634.74</v>
      </c>
      <c r="AD78" s="19"/>
      <c r="AE78" s="28">
        <f>180975.63+90797+9669.95</f>
        <v>281442.58</v>
      </c>
      <c r="AF78" s="12"/>
      <c r="AG78" s="12"/>
      <c r="AH78" s="12"/>
      <c r="AI78" s="19"/>
      <c r="AJ78" s="19"/>
      <c r="AK78" s="19"/>
      <c r="AL78" s="19"/>
      <c r="AM78" s="12"/>
      <c r="AN78" s="12"/>
      <c r="AO78" s="12"/>
      <c r="AP78" s="12"/>
      <c r="AQ78" s="39"/>
      <c r="AR78" s="39"/>
    </row>
    <row r="79" spans="1:44" ht="45" customHeight="1" x14ac:dyDescent="0.25">
      <c r="A79" s="109" t="s">
        <v>9</v>
      </c>
      <c r="B79" s="110"/>
      <c r="C79" s="1"/>
      <c r="D79" s="1"/>
      <c r="E79" s="1"/>
      <c r="F79" s="1"/>
      <c r="G79" s="1">
        <v>-0.01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9">
        <v>150004.17000000001</v>
      </c>
      <c r="AB79" s="19"/>
      <c r="AC79" s="19">
        <f>218911.42+53273.97</f>
        <v>272185.39</v>
      </c>
      <c r="AD79" s="19"/>
      <c r="AE79" s="28">
        <v>185472.7</v>
      </c>
      <c r="AF79" s="12"/>
      <c r="AG79" s="12"/>
      <c r="AH79" s="12"/>
      <c r="AI79" s="19"/>
      <c r="AJ79" s="19"/>
      <c r="AK79" s="19"/>
      <c r="AL79" s="19"/>
      <c r="AM79" s="12"/>
      <c r="AN79" s="12"/>
      <c r="AO79" s="12"/>
      <c r="AP79" s="12"/>
      <c r="AQ79" s="39"/>
      <c r="AR79" s="39"/>
    </row>
    <row r="80" spans="1:44" x14ac:dyDescent="0.25">
      <c r="A80" s="109" t="s">
        <v>10</v>
      </c>
      <c r="B80" s="110"/>
      <c r="C80" s="1"/>
      <c r="D80" s="1"/>
      <c r="E80" s="1"/>
      <c r="F80" s="1"/>
      <c r="G80" s="1">
        <v>-67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v>-94199.79</v>
      </c>
      <c r="Z80" s="1"/>
      <c r="AA80" s="19">
        <f>129635</f>
        <v>129635</v>
      </c>
      <c r="AB80" s="19"/>
      <c r="AC80" s="19"/>
      <c r="AD80" s="19"/>
      <c r="AE80" s="28"/>
      <c r="AF80" s="12"/>
      <c r="AG80" s="12"/>
      <c r="AH80" s="12"/>
      <c r="AI80" s="19"/>
      <c r="AJ80" s="19"/>
      <c r="AK80" s="19"/>
      <c r="AL80" s="19"/>
      <c r="AM80" s="12"/>
      <c r="AN80" s="12"/>
      <c r="AO80" s="12"/>
      <c r="AP80" s="12"/>
      <c r="AQ80" s="39"/>
      <c r="AR80" s="39"/>
    </row>
    <row r="81" spans="1:44" ht="29.25" customHeight="1" x14ac:dyDescent="0.25">
      <c r="A81" s="109" t="s">
        <v>16</v>
      </c>
      <c r="B81" s="110"/>
      <c r="C81" s="1"/>
      <c r="D81" s="1"/>
      <c r="E81" s="1">
        <v>2480.69</v>
      </c>
      <c r="F81" s="1"/>
      <c r="G81" s="1">
        <f>10138.57+19589.11</f>
        <v>29727.68</v>
      </c>
      <c r="H81" s="1"/>
      <c r="I81" s="1">
        <f>14183.88+15638.22</f>
        <v>29822.1</v>
      </c>
      <c r="J81" s="1"/>
      <c r="K81" s="1"/>
      <c r="L81" s="1"/>
      <c r="M81" s="1"/>
      <c r="N81" s="1"/>
      <c r="O81" s="1">
        <v>4458.26</v>
      </c>
      <c r="P81" s="1"/>
      <c r="Q81" s="1"/>
      <c r="R81" s="1"/>
      <c r="S81" s="1"/>
      <c r="T81" s="1"/>
      <c r="U81" s="1"/>
      <c r="V81" s="1"/>
      <c r="W81" s="1"/>
      <c r="X81" s="1"/>
      <c r="Y81" s="1">
        <v>65212.44</v>
      </c>
      <c r="Z81" s="1"/>
      <c r="AA81" s="19">
        <v>153588.26999999999</v>
      </c>
      <c r="AB81" s="19">
        <v>153588.26999999999</v>
      </c>
      <c r="AC81" s="19">
        <v>1100</v>
      </c>
      <c r="AD81" s="19"/>
      <c r="AE81" s="28">
        <v>316.54000000000002</v>
      </c>
      <c r="AF81" s="12"/>
      <c r="AG81" s="12"/>
      <c r="AH81" s="12"/>
      <c r="AI81" s="19"/>
      <c r="AJ81" s="19"/>
      <c r="AK81" s="19"/>
      <c r="AL81" s="19"/>
      <c r="AM81" s="12"/>
      <c r="AN81" s="12"/>
      <c r="AO81" s="12"/>
      <c r="AP81" s="12"/>
      <c r="AQ81" s="39"/>
      <c r="AR81" s="39"/>
    </row>
    <row r="82" spans="1:44" x14ac:dyDescent="0.25">
      <c r="A82" s="111" t="s">
        <v>15</v>
      </c>
      <c r="B82" s="112"/>
      <c r="C82" s="115">
        <v>-1470.89</v>
      </c>
      <c r="D82" s="115">
        <f>SUM(D84:D88)</f>
        <v>0</v>
      </c>
      <c r="E82" s="115">
        <f t="shared" ref="E82:AB82" si="16">SUM(E84:E88)</f>
        <v>741.25</v>
      </c>
      <c r="F82" s="115">
        <f t="shared" si="16"/>
        <v>0</v>
      </c>
      <c r="G82" s="115">
        <f t="shared" si="16"/>
        <v>0</v>
      </c>
      <c r="H82" s="115">
        <f t="shared" si="16"/>
        <v>0</v>
      </c>
      <c r="I82" s="115">
        <f t="shared" si="16"/>
        <v>0</v>
      </c>
      <c r="J82" s="115">
        <f t="shared" si="16"/>
        <v>0</v>
      </c>
      <c r="K82" s="115">
        <f t="shared" si="16"/>
        <v>0</v>
      </c>
      <c r="L82" s="115">
        <f t="shared" si="16"/>
        <v>0</v>
      </c>
      <c r="M82" s="115">
        <f t="shared" si="16"/>
        <v>0</v>
      </c>
      <c r="N82" s="115">
        <f t="shared" si="16"/>
        <v>0</v>
      </c>
      <c r="O82" s="115">
        <f t="shared" si="16"/>
        <v>0</v>
      </c>
      <c r="P82" s="115">
        <f t="shared" si="16"/>
        <v>0</v>
      </c>
      <c r="Q82" s="115">
        <f t="shared" si="16"/>
        <v>0</v>
      </c>
      <c r="R82" s="115">
        <f t="shared" si="16"/>
        <v>0</v>
      </c>
      <c r="S82" s="115">
        <f t="shared" si="16"/>
        <v>0</v>
      </c>
      <c r="T82" s="115">
        <f t="shared" si="16"/>
        <v>0</v>
      </c>
      <c r="U82" s="115">
        <f t="shared" si="16"/>
        <v>0</v>
      </c>
      <c r="V82" s="115">
        <f t="shared" si="16"/>
        <v>0</v>
      </c>
      <c r="W82" s="115">
        <f t="shared" si="16"/>
        <v>0</v>
      </c>
      <c r="X82" s="115">
        <f t="shared" si="16"/>
        <v>0</v>
      </c>
      <c r="Y82" s="115">
        <f t="shared" si="16"/>
        <v>0</v>
      </c>
      <c r="Z82" s="115">
        <f t="shared" si="16"/>
        <v>0</v>
      </c>
      <c r="AA82" s="128">
        <f>AA84+AA85+AA86+AA87+AA88</f>
        <v>84248.31</v>
      </c>
      <c r="AB82" s="128">
        <f t="shared" si="16"/>
        <v>0</v>
      </c>
      <c r="AC82" s="128">
        <f>SUM(AC84:AC88)</f>
        <v>130082.92000000001</v>
      </c>
      <c r="AD82" s="128">
        <f>SUM(AD84:AD88)</f>
        <v>0</v>
      </c>
      <c r="AE82" s="126">
        <f t="shared" ref="AE82:AL82" si="17">AE84+AE85+AE86+AE87+AE88</f>
        <v>122664.07</v>
      </c>
      <c r="AF82" s="126">
        <f t="shared" si="17"/>
        <v>0</v>
      </c>
      <c r="AG82" s="126">
        <f t="shared" si="17"/>
        <v>0</v>
      </c>
      <c r="AH82" s="126">
        <f t="shared" si="17"/>
        <v>0</v>
      </c>
      <c r="AI82" s="122">
        <f t="shared" si="17"/>
        <v>45365.68</v>
      </c>
      <c r="AJ82" s="122">
        <f t="shared" si="17"/>
        <v>0</v>
      </c>
      <c r="AK82" s="122">
        <v>0</v>
      </c>
      <c r="AL82" s="122">
        <f t="shared" si="17"/>
        <v>0</v>
      </c>
      <c r="AM82" s="122">
        <f>AM84+AM85+AM86+AM87+AM88</f>
        <v>0</v>
      </c>
      <c r="AN82" s="122">
        <f>AN84+AN85+AN86+AN87+AN88</f>
        <v>0</v>
      </c>
      <c r="AO82" s="122">
        <f>AO84+AO85+AO86+AO87+AO88</f>
        <v>0</v>
      </c>
      <c r="AP82" s="122">
        <f>AP84+AP85+AP86+AP87+AP88</f>
        <v>0</v>
      </c>
      <c r="AQ82" s="116">
        <f>AM82/AI82-1</f>
        <v>-1</v>
      </c>
      <c r="AR82" s="116" t="e">
        <f>AO82/AK82-1</f>
        <v>#DIV/0!</v>
      </c>
    </row>
    <row r="83" spans="1:44" x14ac:dyDescent="0.25">
      <c r="A83" s="113"/>
      <c r="B83" s="11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25"/>
      <c r="AB83" s="125"/>
      <c r="AC83" s="131"/>
      <c r="AD83" s="125"/>
      <c r="AE83" s="127"/>
      <c r="AF83" s="127"/>
      <c r="AG83" s="127"/>
      <c r="AH83" s="127"/>
      <c r="AI83" s="123"/>
      <c r="AJ83" s="123"/>
      <c r="AK83" s="123"/>
      <c r="AL83" s="123"/>
      <c r="AM83" s="123"/>
      <c r="AN83" s="123"/>
      <c r="AO83" s="123"/>
      <c r="AP83" s="123"/>
      <c r="AQ83" s="117"/>
      <c r="AR83" s="117"/>
    </row>
    <row r="84" spans="1:44" ht="46.5" customHeight="1" x14ac:dyDescent="0.25">
      <c r="A84" s="109" t="s">
        <v>11</v>
      </c>
      <c r="B84" s="110"/>
      <c r="C84" s="2"/>
      <c r="D84" s="2"/>
      <c r="E84" s="2">
        <v>741.25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6"/>
      <c r="AB84" s="16"/>
      <c r="AC84" s="16">
        <v>5034.4399999999996</v>
      </c>
      <c r="AD84" s="13"/>
      <c r="AE84" s="23">
        <v>354.61</v>
      </c>
      <c r="AF84" s="23"/>
      <c r="AG84" s="23"/>
      <c r="AH84" s="23"/>
      <c r="AI84" s="16"/>
      <c r="AJ84" s="16"/>
      <c r="AK84" s="16"/>
      <c r="AL84" s="16"/>
      <c r="AM84" s="16"/>
      <c r="AN84" s="16"/>
      <c r="AO84" s="16"/>
      <c r="AP84" s="16"/>
      <c r="AQ84" s="24"/>
      <c r="AR84" s="24"/>
    </row>
    <row r="85" spans="1:44" x14ac:dyDescent="0.25">
      <c r="A85" s="109" t="s">
        <v>8</v>
      </c>
      <c r="B85" s="110"/>
      <c r="C85" s="2"/>
      <c r="D85" s="2"/>
      <c r="E85" s="2">
        <v>0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6">
        <v>53091.66</v>
      </c>
      <c r="AB85" s="16"/>
      <c r="AC85" s="16">
        <v>81730</v>
      </c>
      <c r="AD85" s="13"/>
      <c r="AE85" s="23">
        <v>82376</v>
      </c>
      <c r="AF85" s="23"/>
      <c r="AG85" s="23"/>
      <c r="AH85" s="23"/>
      <c r="AI85" s="16">
        <v>28290.47</v>
      </c>
      <c r="AJ85" s="16"/>
      <c r="AK85" s="16"/>
      <c r="AL85" s="16"/>
      <c r="AM85" s="13"/>
      <c r="AN85" s="13"/>
      <c r="AO85" s="13"/>
      <c r="AP85" s="13"/>
      <c r="AQ85" s="31"/>
      <c r="AR85" s="31"/>
    </row>
    <row r="86" spans="1:44" ht="44.25" customHeight="1" x14ac:dyDescent="0.25">
      <c r="A86" s="109" t="s">
        <v>9</v>
      </c>
      <c r="B86" s="110"/>
      <c r="C86" s="2"/>
      <c r="D86" s="2"/>
      <c r="E86" s="2">
        <v>0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6">
        <v>31156.65</v>
      </c>
      <c r="AB86" s="16"/>
      <c r="AC86" s="16">
        <v>43318.48</v>
      </c>
      <c r="AD86" s="13"/>
      <c r="AE86" s="23">
        <v>39933.46</v>
      </c>
      <c r="AF86" s="23"/>
      <c r="AG86" s="23"/>
      <c r="AH86" s="23"/>
      <c r="AI86" s="16">
        <v>17075.21</v>
      </c>
      <c r="AJ86" s="16"/>
      <c r="AK86" s="16"/>
      <c r="AL86" s="16"/>
      <c r="AM86" s="13"/>
      <c r="AN86" s="13"/>
      <c r="AO86" s="13"/>
      <c r="AP86" s="13"/>
      <c r="AQ86" s="31"/>
      <c r="AR86" s="31"/>
    </row>
    <row r="87" spans="1:44" x14ac:dyDescent="0.25">
      <c r="A87" s="109" t="s">
        <v>10</v>
      </c>
      <c r="B87" s="11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6"/>
      <c r="AB87" s="23"/>
      <c r="AC87" s="13"/>
      <c r="AD87" s="13"/>
      <c r="AE87" s="13"/>
      <c r="AF87" s="13"/>
      <c r="AG87" s="13"/>
      <c r="AH87" s="13"/>
      <c r="AI87" s="16"/>
      <c r="AJ87" s="16"/>
      <c r="AK87" s="16"/>
      <c r="AL87" s="16"/>
      <c r="AM87" s="13"/>
      <c r="AN87" s="13"/>
      <c r="AO87" s="13"/>
      <c r="AP87" s="13"/>
      <c r="AQ87" s="31"/>
      <c r="AR87" s="31"/>
    </row>
    <row r="88" spans="1:44" ht="29.25" customHeight="1" x14ac:dyDescent="0.25">
      <c r="A88" s="109" t="s">
        <v>16</v>
      </c>
      <c r="B88" s="1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31"/>
      <c r="AR88" s="31"/>
    </row>
    <row r="89" spans="1:44" ht="60" hidden="1" x14ac:dyDescent="0.25">
      <c r="A89" s="7" t="s">
        <v>25</v>
      </c>
      <c r="B89" s="7"/>
      <c r="C89" s="9">
        <v>3090165.46</v>
      </c>
      <c r="D89" s="9">
        <v>3090165.46</v>
      </c>
      <c r="E89" s="9">
        <f>SUM(E90:E92)</f>
        <v>0</v>
      </c>
      <c r="F89" s="9">
        <f>SUM(F90:F92)</f>
        <v>0</v>
      </c>
      <c r="G89" s="9">
        <f t="shared" ref="G89:Z89" si="18">SUM(G90:G92)</f>
        <v>0</v>
      </c>
      <c r="H89" s="9">
        <f t="shared" si="18"/>
        <v>0</v>
      </c>
      <c r="I89" s="9">
        <f t="shared" si="18"/>
        <v>0</v>
      </c>
      <c r="J89" s="9">
        <f t="shared" si="18"/>
        <v>0</v>
      </c>
      <c r="K89" s="9">
        <f t="shared" si="18"/>
        <v>0</v>
      </c>
      <c r="L89" s="9">
        <f t="shared" si="18"/>
        <v>0</v>
      </c>
      <c r="M89" s="9">
        <f t="shared" si="18"/>
        <v>0</v>
      </c>
      <c r="N89" s="9">
        <f t="shared" si="18"/>
        <v>0</v>
      </c>
      <c r="O89" s="9">
        <f t="shared" si="18"/>
        <v>0</v>
      </c>
      <c r="P89" s="9">
        <f t="shared" si="18"/>
        <v>0</v>
      </c>
      <c r="Q89" s="9">
        <f t="shared" si="18"/>
        <v>0</v>
      </c>
      <c r="R89" s="9">
        <f t="shared" si="18"/>
        <v>0</v>
      </c>
      <c r="S89" s="9">
        <f t="shared" si="18"/>
        <v>0</v>
      </c>
      <c r="T89" s="9">
        <f t="shared" si="18"/>
        <v>0</v>
      </c>
      <c r="U89" s="9">
        <f t="shared" si="18"/>
        <v>0</v>
      </c>
      <c r="V89" s="9">
        <f t="shared" si="18"/>
        <v>0</v>
      </c>
      <c r="W89" s="9">
        <f t="shared" si="18"/>
        <v>0</v>
      </c>
      <c r="X89" s="9">
        <f t="shared" si="18"/>
        <v>0</v>
      </c>
      <c r="Y89" s="9">
        <f t="shared" si="18"/>
        <v>0</v>
      </c>
      <c r="Z89" s="9">
        <f t="shared" si="18"/>
        <v>0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129">
        <v>0</v>
      </c>
      <c r="AR89" s="129">
        <v>0</v>
      </c>
    </row>
    <row r="90" spans="1:44" hidden="1" x14ac:dyDescent="0.25">
      <c r="A90" s="109" t="s">
        <v>10</v>
      </c>
      <c r="B90" s="132"/>
      <c r="C90" s="2"/>
      <c r="D90" s="2"/>
      <c r="E90" s="2"/>
      <c r="F90" s="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3"/>
      <c r="AB90" s="13"/>
      <c r="AC90" s="13"/>
      <c r="AD90" s="13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130"/>
      <c r="AR90" s="130"/>
    </row>
    <row r="91" spans="1:44" hidden="1" x14ac:dyDescent="0.25">
      <c r="A91" s="133" t="s">
        <v>24</v>
      </c>
      <c r="B91" s="132"/>
      <c r="C91" s="9">
        <f>4008760.53+5844431.63+14283.75+179317.37</f>
        <v>10046793.279999999</v>
      </c>
      <c r="D91" s="9">
        <f>989699.04+1910943.77</f>
        <v>2900642.81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32"/>
      <c r="AR91" s="32"/>
    </row>
    <row r="92" spans="1:44" hidden="1" x14ac:dyDescent="0.25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31"/>
      <c r="AR92" s="31"/>
    </row>
    <row r="93" spans="1:44" x14ac:dyDescent="0.25">
      <c r="A93" s="133" t="s">
        <v>12</v>
      </c>
      <c r="B93" s="132"/>
      <c r="C93" s="10">
        <f>C8+C33+C40+C47+C54+C61+C68+C75+C82+C89+C91</f>
        <v>94587677.819999993</v>
      </c>
      <c r="D93" s="10">
        <f>D8+D33+D40+D47+D54+D61+D68+D75+D82+D89+D91</f>
        <v>68008770.719999999</v>
      </c>
      <c r="E93" s="10">
        <f>E8+E33+E40+E47+E54+E61+E68+E75+E82+E89</f>
        <v>85864729.75999999</v>
      </c>
      <c r="F93" s="10">
        <f>F8+F33+F40+F47+F54+F61+F68+F75+F82+F89</f>
        <v>66510808.209999993</v>
      </c>
      <c r="G93" s="10">
        <f t="shared" ref="G93:Y93" si="19">G8+G33+G40+G47+G54+G61+G68+G75+G82+G89</f>
        <v>93511066.090000018</v>
      </c>
      <c r="H93" s="10">
        <f t="shared" si="19"/>
        <v>66963948.660000004</v>
      </c>
      <c r="I93" s="10">
        <f t="shared" si="19"/>
        <v>92440148.88000001</v>
      </c>
      <c r="J93" s="10">
        <f t="shared" si="19"/>
        <v>69371696.100000009</v>
      </c>
      <c r="K93" s="10">
        <f t="shared" si="19"/>
        <v>93692017.959999993</v>
      </c>
      <c r="L93" s="10">
        <f t="shared" si="19"/>
        <v>72494645.030000001</v>
      </c>
      <c r="M93" s="10">
        <f t="shared" si="19"/>
        <v>95350288.340000004</v>
      </c>
      <c r="N93" s="10">
        <f t="shared" si="19"/>
        <v>74699098.340000004</v>
      </c>
      <c r="O93" s="10">
        <f t="shared" si="19"/>
        <v>92952938.269999996</v>
      </c>
      <c r="P93" s="10">
        <f t="shared" si="19"/>
        <v>82357876.220000014</v>
      </c>
      <c r="Q93" s="10">
        <f t="shared" si="19"/>
        <v>97449531.209999979</v>
      </c>
      <c r="R93" s="10">
        <f t="shared" si="19"/>
        <v>74441297.569999993</v>
      </c>
      <c r="S93" s="10">
        <f t="shared" si="19"/>
        <v>96755275.489999995</v>
      </c>
      <c r="T93" s="10">
        <f t="shared" si="19"/>
        <v>74719949.890000001</v>
      </c>
      <c r="U93" s="10">
        <f t="shared" si="19"/>
        <v>97352731.719999984</v>
      </c>
      <c r="V93" s="10">
        <f t="shared" si="19"/>
        <v>74918061.669999987</v>
      </c>
      <c r="W93" s="10">
        <f t="shared" si="19"/>
        <v>103431682.53</v>
      </c>
      <c r="X93" s="10">
        <f t="shared" si="19"/>
        <v>71550048.36999999</v>
      </c>
      <c r="Y93" s="10">
        <f t="shared" si="19"/>
        <v>139512827.16999999</v>
      </c>
      <c r="Z93" s="10">
        <f>Z8+Z33+Z40+Z47+Z54+Z61+Z68+Z75+Z82+Z89</f>
        <v>116277638.82999998</v>
      </c>
      <c r="AA93" s="20">
        <f>AA8+AA33+AA40+AA47+AA54+AA61+AA68+AA75+AA82+AA89</f>
        <v>136792938.08000001</v>
      </c>
      <c r="AB93" s="20">
        <f>AB8+AB33+AB40+AB47+AB54+AB61+AB68+AB75+AB82+AB89</f>
        <v>43344897.469999999</v>
      </c>
      <c r="AC93" s="20">
        <f>AC8+AC33+AC40+AC47+AC54+AC61+AC68+AC75+AC82+AC89</f>
        <v>211086618.58000001</v>
      </c>
      <c r="AD93" s="20">
        <f>AD8+AD33+AD40+AD47+AD54+AD61+AD68+AD75+AD82+AD89</f>
        <v>119975047.31999999</v>
      </c>
      <c r="AE93" s="10">
        <f t="shared" ref="AE93:AL93" si="20">AE8+AE33+AE40+AE47+AE54+AE61+AE75+AE82</f>
        <v>210062888.64999998</v>
      </c>
      <c r="AF93" s="10">
        <f t="shared" si="20"/>
        <v>99495187.609999999</v>
      </c>
      <c r="AG93" s="10">
        <f t="shared" si="20"/>
        <v>86313931.799999982</v>
      </c>
      <c r="AH93" s="10">
        <f t="shared" si="20"/>
        <v>23141374.309999999</v>
      </c>
      <c r="AI93" s="20">
        <f t="shared" si="20"/>
        <v>128946217.90000001</v>
      </c>
      <c r="AJ93" s="20">
        <f t="shared" si="20"/>
        <v>32163242.649999999</v>
      </c>
      <c r="AK93" s="20">
        <f t="shared" si="20"/>
        <v>14429840.109999999</v>
      </c>
      <c r="AL93" s="20">
        <f t="shared" si="20"/>
        <v>0</v>
      </c>
      <c r="AM93" s="76">
        <f>AM8+AM33+AM40+AM47+AM54+AM61+AM75+AM82+AM15+AM21+AM27</f>
        <v>110206071.34</v>
      </c>
      <c r="AN93" s="76">
        <f t="shared" ref="AN93:AP93" si="21">AN8+AN33+AN40+AN47+AN54+AN61+AN75+AN82+AN15+AN21+AN27</f>
        <v>26197666.589999996</v>
      </c>
      <c r="AO93" s="76">
        <f t="shared" si="21"/>
        <v>952355</v>
      </c>
      <c r="AP93" s="76">
        <f t="shared" si="21"/>
        <v>571235</v>
      </c>
      <c r="AQ93" s="35">
        <f>AM93/AI93-1</f>
        <v>-0.14533304555340509</v>
      </c>
      <c r="AR93" s="35">
        <f>AO93/AK93-1</f>
        <v>-0.93400100120721297</v>
      </c>
    </row>
    <row r="94" spans="1:44" ht="45" customHeight="1" x14ac:dyDescent="0.25">
      <c r="A94" s="109" t="s">
        <v>11</v>
      </c>
      <c r="B94" s="132"/>
      <c r="C94" s="2">
        <f t="shared" ref="C94:AD98" si="22">C10+C35+C42+C49+C56+C63+C70+C77+C84</f>
        <v>0</v>
      </c>
      <c r="D94" s="2">
        <f t="shared" si="22"/>
        <v>0</v>
      </c>
      <c r="E94" s="2">
        <f t="shared" si="22"/>
        <v>17953226.410000004</v>
      </c>
      <c r="F94" s="2">
        <f t="shared" si="22"/>
        <v>6382951.8399999943</v>
      </c>
      <c r="G94" s="2">
        <f t="shared" si="22"/>
        <v>19216097.170000002</v>
      </c>
      <c r="H94" s="2">
        <f t="shared" si="22"/>
        <v>6555841.7200000007</v>
      </c>
      <c r="I94" s="2">
        <f t="shared" si="22"/>
        <v>22865503.460000001</v>
      </c>
      <c r="J94" s="2">
        <f t="shared" si="22"/>
        <v>5864947.9199999999</v>
      </c>
      <c r="K94" s="2">
        <f t="shared" si="22"/>
        <v>17090632.079999998</v>
      </c>
      <c r="L94" s="2">
        <f t="shared" si="22"/>
        <v>5837825.0099999998</v>
      </c>
      <c r="M94" s="2">
        <f t="shared" si="22"/>
        <v>16099291.18</v>
      </c>
      <c r="N94" s="2">
        <f t="shared" si="22"/>
        <v>7784857.7199999997</v>
      </c>
      <c r="O94" s="2">
        <f t="shared" si="22"/>
        <v>16094244.300000001</v>
      </c>
      <c r="P94" s="2">
        <f t="shared" si="22"/>
        <v>7902977.2199999997</v>
      </c>
      <c r="Q94" s="2">
        <f t="shared" si="22"/>
        <v>20791692.359999999</v>
      </c>
      <c r="R94" s="2">
        <f t="shared" si="22"/>
        <v>7175180.9199999999</v>
      </c>
      <c r="S94" s="2">
        <f t="shared" si="22"/>
        <v>20070445.379999999</v>
      </c>
      <c r="T94" s="2">
        <f t="shared" si="22"/>
        <v>6987489.4900000002</v>
      </c>
      <c r="U94" s="2">
        <f t="shared" si="22"/>
        <v>24410984.270000003</v>
      </c>
      <c r="V94" s="2">
        <f t="shared" si="22"/>
        <v>4182653.4699999997</v>
      </c>
      <c r="W94" s="2">
        <f t="shared" si="22"/>
        <v>34358661.780000001</v>
      </c>
      <c r="X94" s="2">
        <f t="shared" si="22"/>
        <v>4756662.17</v>
      </c>
      <c r="Y94" s="2">
        <f t="shared" si="22"/>
        <v>37550191.880000003</v>
      </c>
      <c r="Z94" s="2">
        <f t="shared" si="22"/>
        <v>19969076.690000001</v>
      </c>
      <c r="AA94" s="16">
        <f t="shared" si="22"/>
        <v>78679277.219999999</v>
      </c>
      <c r="AB94" s="16">
        <f t="shared" si="22"/>
        <v>28544503.479999997</v>
      </c>
      <c r="AC94" s="16">
        <f t="shared" si="22"/>
        <v>97897786.019999981</v>
      </c>
      <c r="AD94" s="16">
        <f t="shared" si="22"/>
        <v>50095879.390000001</v>
      </c>
      <c r="AE94" s="23">
        <f t="shared" ref="AE94:AL98" si="23">AE10+AE35+AE42+AE49+AE56+AE63+AE77+AE84</f>
        <v>108565286.30999999</v>
      </c>
      <c r="AF94" s="23">
        <f t="shared" si="23"/>
        <v>66674832.540000007</v>
      </c>
      <c r="AG94" s="23">
        <f t="shared" si="23"/>
        <v>32847516.43</v>
      </c>
      <c r="AH94" s="23">
        <f t="shared" si="23"/>
        <v>21260780.43</v>
      </c>
      <c r="AI94" s="16">
        <f t="shared" si="23"/>
        <v>59026929.369999997</v>
      </c>
      <c r="AJ94" s="16">
        <f t="shared" si="23"/>
        <v>219982.55</v>
      </c>
      <c r="AK94" s="16">
        <f t="shared" si="23"/>
        <v>3777110.1399999997</v>
      </c>
      <c r="AL94" s="16">
        <f t="shared" si="23"/>
        <v>0</v>
      </c>
      <c r="AM94" s="16">
        <f>AM10+AM35+AM42+AM49+AM56+AM63+AM77+AM84+AM16+AM22+AM28</f>
        <v>48091910.589999996</v>
      </c>
      <c r="AN94" s="16">
        <f t="shared" ref="AN94:AP98" si="24">AN10+AN35+AN42+AN49+AN56+AN63+AN77+AN84+AN16+AN22+AN28</f>
        <v>121925.19</v>
      </c>
      <c r="AO94" s="16">
        <f t="shared" si="24"/>
        <v>571235</v>
      </c>
      <c r="AP94" s="16">
        <f t="shared" si="24"/>
        <v>571235</v>
      </c>
      <c r="AQ94" s="36"/>
      <c r="AR94" s="36"/>
    </row>
    <row r="95" spans="1:44" x14ac:dyDescent="0.25">
      <c r="A95" s="109" t="s">
        <v>8</v>
      </c>
      <c r="B95" s="132"/>
      <c r="C95" s="2">
        <f t="shared" si="22"/>
        <v>0</v>
      </c>
      <c r="D95" s="2">
        <f t="shared" si="22"/>
        <v>0</v>
      </c>
      <c r="E95" s="2">
        <f t="shared" si="22"/>
        <v>0</v>
      </c>
      <c r="F95" s="2">
        <f t="shared" si="22"/>
        <v>0</v>
      </c>
      <c r="G95" s="2">
        <f t="shared" si="22"/>
        <v>1611249.67</v>
      </c>
      <c r="H95" s="2">
        <f t="shared" si="22"/>
        <v>0</v>
      </c>
      <c r="I95" s="2">
        <f t="shared" si="22"/>
        <v>1404831.87</v>
      </c>
      <c r="J95" s="2">
        <f t="shared" si="22"/>
        <v>0</v>
      </c>
      <c r="K95" s="2">
        <f t="shared" si="22"/>
        <v>2089553.3599999999</v>
      </c>
      <c r="L95" s="2">
        <f t="shared" si="22"/>
        <v>0</v>
      </c>
      <c r="M95" s="2">
        <f t="shared" si="22"/>
        <v>1291836.76</v>
      </c>
      <c r="N95" s="2">
        <f t="shared" si="22"/>
        <v>0</v>
      </c>
      <c r="O95" s="2">
        <f t="shared" si="22"/>
        <v>1343049.24</v>
      </c>
      <c r="P95" s="2">
        <f t="shared" si="22"/>
        <v>0</v>
      </c>
      <c r="Q95" s="2">
        <f t="shared" si="22"/>
        <v>1452525.99</v>
      </c>
      <c r="R95" s="2">
        <f t="shared" si="22"/>
        <v>0</v>
      </c>
      <c r="S95" s="2">
        <f t="shared" si="22"/>
        <v>1242140.78</v>
      </c>
      <c r="T95" s="2">
        <f t="shared" si="22"/>
        <v>0</v>
      </c>
      <c r="U95" s="2">
        <f t="shared" si="22"/>
        <v>1196585.6499999999</v>
      </c>
      <c r="V95" s="2">
        <f t="shared" si="22"/>
        <v>0</v>
      </c>
      <c r="W95" s="2">
        <f t="shared" si="22"/>
        <v>1283435.7</v>
      </c>
      <c r="X95" s="2">
        <f t="shared" si="22"/>
        <v>0</v>
      </c>
      <c r="Y95" s="2">
        <f t="shared" si="22"/>
        <v>0</v>
      </c>
      <c r="Z95" s="2">
        <f t="shared" si="22"/>
        <v>0</v>
      </c>
      <c r="AA95" s="16">
        <f t="shared" si="22"/>
        <v>28007459.789999999</v>
      </c>
      <c r="AB95" s="16">
        <f t="shared" si="22"/>
        <v>0</v>
      </c>
      <c r="AC95" s="16">
        <f t="shared" si="22"/>
        <v>33425614.419999998</v>
      </c>
      <c r="AD95" s="16">
        <f t="shared" si="22"/>
        <v>0</v>
      </c>
      <c r="AE95" s="23">
        <f t="shared" si="23"/>
        <v>33462185.5</v>
      </c>
      <c r="AF95" s="23">
        <f t="shared" si="23"/>
        <v>18386199.240000002</v>
      </c>
      <c r="AG95" s="23">
        <f t="shared" si="23"/>
        <v>0</v>
      </c>
      <c r="AH95" s="23">
        <f t="shared" si="23"/>
        <v>0</v>
      </c>
      <c r="AI95" s="16">
        <f t="shared" si="23"/>
        <v>36363970.560000002</v>
      </c>
      <c r="AJ95" s="16">
        <f t="shared" si="23"/>
        <v>19065790.949999999</v>
      </c>
      <c r="AK95" s="16">
        <f t="shared" si="23"/>
        <v>0</v>
      </c>
      <c r="AL95" s="16">
        <f t="shared" si="23"/>
        <v>0</v>
      </c>
      <c r="AM95" s="16">
        <f>AM11+AM36+AM43+AM50+AM57+AM64+AM78+AM85+AM17+AM23+AM29</f>
        <v>34163653.079999998</v>
      </c>
      <c r="AN95" s="16">
        <f t="shared" si="24"/>
        <v>16127711.879999999</v>
      </c>
      <c r="AO95" s="16">
        <f t="shared" si="24"/>
        <v>0</v>
      </c>
      <c r="AP95" s="16">
        <f t="shared" si="24"/>
        <v>0</v>
      </c>
      <c r="AQ95" s="37"/>
      <c r="AR95" s="37"/>
    </row>
    <row r="96" spans="1:44" ht="43.5" customHeight="1" x14ac:dyDescent="0.25">
      <c r="A96" s="109" t="s">
        <v>9</v>
      </c>
      <c r="B96" s="132"/>
      <c r="C96" s="2">
        <f t="shared" si="22"/>
        <v>0</v>
      </c>
      <c r="D96" s="2">
        <f t="shared" si="22"/>
        <v>0</v>
      </c>
      <c r="E96" s="2">
        <f t="shared" si="22"/>
        <v>5781112.8999999994</v>
      </c>
      <c r="F96" s="2">
        <f t="shared" si="22"/>
        <v>0</v>
      </c>
      <c r="G96" s="2">
        <f t="shared" si="22"/>
        <v>841993.46</v>
      </c>
      <c r="H96" s="2">
        <f t="shared" si="22"/>
        <v>0</v>
      </c>
      <c r="I96" s="2">
        <f t="shared" si="22"/>
        <v>730672.66</v>
      </c>
      <c r="J96" s="2">
        <f t="shared" si="22"/>
        <v>0</v>
      </c>
      <c r="K96" s="2">
        <f t="shared" si="22"/>
        <v>907890.05999999994</v>
      </c>
      <c r="L96" s="2">
        <f t="shared" si="22"/>
        <v>0</v>
      </c>
      <c r="M96" s="2">
        <f t="shared" si="22"/>
        <v>596611.02</v>
      </c>
      <c r="N96" s="2">
        <f t="shared" si="22"/>
        <v>0</v>
      </c>
      <c r="O96" s="2">
        <f t="shared" si="22"/>
        <v>806056.14</v>
      </c>
      <c r="P96" s="2">
        <f t="shared" si="22"/>
        <v>0</v>
      </c>
      <c r="Q96" s="2">
        <f t="shared" si="22"/>
        <v>910579.46000000008</v>
      </c>
      <c r="R96" s="2">
        <f t="shared" si="22"/>
        <v>0</v>
      </c>
      <c r="S96" s="2">
        <f t="shared" si="22"/>
        <v>832315.84</v>
      </c>
      <c r="T96" s="2">
        <f t="shared" si="22"/>
        <v>0</v>
      </c>
      <c r="U96" s="2">
        <f t="shared" si="22"/>
        <v>786043.03</v>
      </c>
      <c r="V96" s="2">
        <f t="shared" si="22"/>
        <v>0</v>
      </c>
      <c r="W96" s="2">
        <f t="shared" si="22"/>
        <v>782576.37000000011</v>
      </c>
      <c r="X96" s="2">
        <f t="shared" si="22"/>
        <v>0</v>
      </c>
      <c r="Y96" s="2">
        <f t="shared" si="22"/>
        <v>4770499.5100000007</v>
      </c>
      <c r="Z96" s="2">
        <f t="shared" si="22"/>
        <v>0</v>
      </c>
      <c r="AA96" s="16">
        <f t="shared" si="22"/>
        <v>11517101.640000001</v>
      </c>
      <c r="AB96" s="16">
        <f t="shared" si="22"/>
        <v>0</v>
      </c>
      <c r="AC96" s="16">
        <f t="shared" si="22"/>
        <v>17884307.940000001</v>
      </c>
      <c r="AD96" s="16">
        <f t="shared" si="22"/>
        <v>11291466.59</v>
      </c>
      <c r="AE96" s="23">
        <f t="shared" si="23"/>
        <v>26315662.609999999</v>
      </c>
      <c r="AF96" s="23">
        <f t="shared" si="23"/>
        <v>12978010.970000001</v>
      </c>
      <c r="AG96" s="23">
        <f t="shared" si="23"/>
        <v>14772077.07</v>
      </c>
      <c r="AH96" s="23">
        <f t="shared" si="23"/>
        <v>1220473.1199999999</v>
      </c>
      <c r="AI96" s="16">
        <f t="shared" si="23"/>
        <v>19682269.09</v>
      </c>
      <c r="AJ96" s="16">
        <f t="shared" si="23"/>
        <v>9924703.2199999988</v>
      </c>
      <c r="AK96" s="16">
        <f t="shared" si="23"/>
        <v>0</v>
      </c>
      <c r="AL96" s="16">
        <f t="shared" si="23"/>
        <v>0</v>
      </c>
      <c r="AM96" s="16">
        <f>AM12+AM37+AM44+AM51+AM58+AM65+AM79+AM86+AM18+AM24+AM30</f>
        <v>19422993.020000003</v>
      </c>
      <c r="AN96" s="16">
        <f t="shared" si="24"/>
        <v>9100808</v>
      </c>
      <c r="AO96" s="16">
        <f t="shared" si="24"/>
        <v>0</v>
      </c>
      <c r="AP96" s="16">
        <f t="shared" si="24"/>
        <v>0</v>
      </c>
      <c r="AQ96" s="37"/>
      <c r="AR96" s="37"/>
    </row>
    <row r="97" spans="1:44" x14ac:dyDescent="0.25">
      <c r="A97" s="109" t="s">
        <v>10</v>
      </c>
      <c r="B97" s="132"/>
      <c r="C97" s="2">
        <f t="shared" ref="C97:Z97" si="25">C13+C38+C45+C52+C59+C66+C73+C80+C87+C90</f>
        <v>0</v>
      </c>
      <c r="D97" s="2">
        <f t="shared" si="25"/>
        <v>0</v>
      </c>
      <c r="E97" s="2">
        <f t="shared" si="25"/>
        <v>60461371.310000002</v>
      </c>
      <c r="F97" s="2">
        <f t="shared" si="25"/>
        <v>58245420.57</v>
      </c>
      <c r="G97" s="2">
        <f t="shared" si="25"/>
        <v>69929562.310000002</v>
      </c>
      <c r="H97" s="2">
        <f t="shared" si="25"/>
        <v>58525671.140000001</v>
      </c>
      <c r="I97" s="2">
        <f t="shared" si="25"/>
        <v>65526882.990000002</v>
      </c>
      <c r="J97" s="2">
        <f t="shared" si="25"/>
        <v>61624312.380000003</v>
      </c>
      <c r="K97" s="2">
        <f t="shared" si="25"/>
        <v>71721506.659999996</v>
      </c>
      <c r="L97" s="2">
        <f t="shared" si="25"/>
        <v>64774384.220000006</v>
      </c>
      <c r="M97" s="2">
        <f t="shared" si="25"/>
        <v>75480113.579999998</v>
      </c>
      <c r="N97" s="2">
        <f t="shared" si="25"/>
        <v>65031804.82</v>
      </c>
      <c r="O97" s="2">
        <f t="shared" si="25"/>
        <v>72791361.200000003</v>
      </c>
      <c r="P97" s="2">
        <f t="shared" si="25"/>
        <v>72572463.200000003</v>
      </c>
      <c r="Q97" s="2">
        <f t="shared" si="25"/>
        <v>72380297.609999999</v>
      </c>
      <c r="R97" s="2">
        <f t="shared" si="25"/>
        <v>65383680.850000001</v>
      </c>
      <c r="S97" s="2">
        <f t="shared" si="25"/>
        <v>72695876.399999991</v>
      </c>
      <c r="T97" s="2">
        <f t="shared" si="25"/>
        <v>65850024.600000001</v>
      </c>
      <c r="U97" s="2">
        <f t="shared" si="25"/>
        <v>69041659.049999997</v>
      </c>
      <c r="V97" s="2">
        <f t="shared" si="25"/>
        <v>68852972.399999991</v>
      </c>
      <c r="W97" s="2">
        <f t="shared" si="25"/>
        <v>65102023.400000006</v>
      </c>
      <c r="X97" s="2">
        <f t="shared" si="25"/>
        <v>64910950.400000006</v>
      </c>
      <c r="Y97" s="2">
        <f t="shared" si="25"/>
        <v>66208215.299999997</v>
      </c>
      <c r="Z97" s="2">
        <f t="shared" si="25"/>
        <v>65394874.099999994</v>
      </c>
      <c r="AA97" s="16">
        <f t="shared" si="22"/>
        <v>14182522.93</v>
      </c>
      <c r="AB97" s="16">
        <f t="shared" si="22"/>
        <v>12430432.640000001</v>
      </c>
      <c r="AC97" s="16">
        <f t="shared" si="22"/>
        <v>21526116.329999998</v>
      </c>
      <c r="AD97" s="16">
        <f t="shared" si="22"/>
        <v>20453326.48</v>
      </c>
      <c r="AE97" s="23">
        <f t="shared" si="23"/>
        <v>8168917.8400000008</v>
      </c>
      <c r="AF97" s="23">
        <f t="shared" si="23"/>
        <v>93556.36</v>
      </c>
      <c r="AG97" s="23">
        <f t="shared" si="23"/>
        <v>7493731.0800000001</v>
      </c>
      <c r="AH97" s="23">
        <f t="shared" si="23"/>
        <v>0</v>
      </c>
      <c r="AI97" s="16">
        <f t="shared" si="23"/>
        <v>6002746.2800000012</v>
      </c>
      <c r="AJ97" s="16">
        <f t="shared" si="23"/>
        <v>92285.57</v>
      </c>
      <c r="AK97" s="16">
        <f t="shared" si="23"/>
        <v>5647572.7300000004</v>
      </c>
      <c r="AL97" s="16">
        <f t="shared" si="23"/>
        <v>0</v>
      </c>
      <c r="AM97" s="16">
        <f>AM13+AM38+AM45+AM52+AM59+AM66+AM80+AM87+AM19+AM25+AM31</f>
        <v>500646.57</v>
      </c>
      <c r="AN97" s="16">
        <f t="shared" si="24"/>
        <v>0</v>
      </c>
      <c r="AO97" s="16">
        <f t="shared" si="24"/>
        <v>381120</v>
      </c>
      <c r="AP97" s="16">
        <f t="shared" si="24"/>
        <v>0</v>
      </c>
      <c r="AQ97" s="37"/>
      <c r="AR97" s="37"/>
    </row>
    <row r="98" spans="1:44" ht="28.5" customHeight="1" x14ac:dyDescent="0.25">
      <c r="A98" s="109" t="s">
        <v>16</v>
      </c>
      <c r="B98" s="132"/>
      <c r="C98" s="2">
        <f t="shared" ref="C98:Z98" si="26">C14+C39+C46+C53+C60+C67+C74+C81+C88</f>
        <v>0</v>
      </c>
      <c r="D98" s="2">
        <f t="shared" si="26"/>
        <v>0</v>
      </c>
      <c r="E98" s="2">
        <f t="shared" si="26"/>
        <v>1669019.14</v>
      </c>
      <c r="F98" s="2">
        <f t="shared" si="26"/>
        <v>1882435.7999999998</v>
      </c>
      <c r="G98" s="2">
        <f t="shared" si="26"/>
        <v>1912163.48</v>
      </c>
      <c r="H98" s="2">
        <f t="shared" si="26"/>
        <v>1882435.8</v>
      </c>
      <c r="I98" s="2">
        <f t="shared" si="26"/>
        <v>1912257.9000000001</v>
      </c>
      <c r="J98" s="2">
        <f t="shared" si="26"/>
        <v>1882435.8</v>
      </c>
      <c r="K98" s="2">
        <f t="shared" si="26"/>
        <v>1882435.8</v>
      </c>
      <c r="L98" s="2">
        <f t="shared" si="26"/>
        <v>1882435.8</v>
      </c>
      <c r="M98" s="2">
        <f t="shared" si="26"/>
        <v>1882435.8</v>
      </c>
      <c r="N98" s="2">
        <f t="shared" si="26"/>
        <v>1882435.8</v>
      </c>
      <c r="O98" s="2">
        <f t="shared" si="26"/>
        <v>1918227.3900000001</v>
      </c>
      <c r="P98" s="2">
        <f t="shared" si="26"/>
        <v>1882435.8</v>
      </c>
      <c r="Q98" s="2">
        <f t="shared" si="26"/>
        <v>1914435.79</v>
      </c>
      <c r="R98" s="2">
        <f t="shared" si="26"/>
        <v>1882435.8</v>
      </c>
      <c r="S98" s="2">
        <f t="shared" si="26"/>
        <v>1914497.09</v>
      </c>
      <c r="T98" s="2">
        <f t="shared" si="26"/>
        <v>1882435.8</v>
      </c>
      <c r="U98" s="2">
        <f t="shared" si="26"/>
        <v>1917459.72</v>
      </c>
      <c r="V98" s="2">
        <f t="shared" si="26"/>
        <v>1882435.8</v>
      </c>
      <c r="W98" s="2">
        <f t="shared" si="26"/>
        <v>1904985.28</v>
      </c>
      <c r="X98" s="2">
        <f t="shared" si="26"/>
        <v>1882435.8</v>
      </c>
      <c r="Y98" s="2">
        <f t="shared" si="26"/>
        <v>30983920.480000004</v>
      </c>
      <c r="Z98" s="2">
        <f t="shared" si="26"/>
        <v>30913688.039999999</v>
      </c>
      <c r="AA98" s="16">
        <f t="shared" si="22"/>
        <v>4406576.5</v>
      </c>
      <c r="AB98" s="16">
        <f t="shared" si="22"/>
        <v>2369961.35</v>
      </c>
      <c r="AC98" s="16">
        <f t="shared" si="22"/>
        <v>40352793.869999997</v>
      </c>
      <c r="AD98" s="16">
        <f t="shared" si="22"/>
        <v>38134374.859999999</v>
      </c>
      <c r="AE98" s="23">
        <f t="shared" si="23"/>
        <v>33550836.390000001</v>
      </c>
      <c r="AF98" s="23">
        <f t="shared" si="23"/>
        <v>1362588.5</v>
      </c>
      <c r="AG98" s="23">
        <f t="shared" si="23"/>
        <v>31200607.219999999</v>
      </c>
      <c r="AH98" s="23">
        <f t="shared" si="23"/>
        <v>660120.76</v>
      </c>
      <c r="AI98" s="16">
        <f t="shared" si="23"/>
        <v>7870302.5999999996</v>
      </c>
      <c r="AJ98" s="16">
        <f t="shared" si="23"/>
        <v>2860480.3600000003</v>
      </c>
      <c r="AK98" s="16">
        <f t="shared" si="23"/>
        <v>5005157.24</v>
      </c>
      <c r="AL98" s="16">
        <f t="shared" si="23"/>
        <v>0</v>
      </c>
      <c r="AM98" s="16">
        <f>AM14+AM39+AM46+AM53+AM60+AM67+AM81+AM88+AM20+AM26+AM32</f>
        <v>8026868.0799999991</v>
      </c>
      <c r="AN98" s="16">
        <f t="shared" si="24"/>
        <v>847221.52</v>
      </c>
      <c r="AO98" s="16">
        <f t="shared" si="24"/>
        <v>0</v>
      </c>
      <c r="AP98" s="16">
        <f t="shared" si="24"/>
        <v>0</v>
      </c>
      <c r="AQ98" s="37"/>
      <c r="AR98" s="37"/>
    </row>
    <row r="99" spans="1:44" ht="26.25" customHeight="1" x14ac:dyDescent="0.25">
      <c r="A99" s="133" t="s">
        <v>20</v>
      </c>
      <c r="B99" s="132"/>
      <c r="C99" s="3">
        <v>19700824</v>
      </c>
      <c r="D99" s="3"/>
      <c r="E99" s="3">
        <v>30646350</v>
      </c>
      <c r="F99" s="3"/>
      <c r="G99" s="3">
        <v>30646350</v>
      </c>
      <c r="H99" s="3"/>
      <c r="I99" s="3">
        <v>30646350</v>
      </c>
      <c r="J99" s="3"/>
      <c r="K99" s="3">
        <v>30646350</v>
      </c>
      <c r="L99" s="3"/>
      <c r="M99" s="3">
        <v>30646350</v>
      </c>
      <c r="N99" s="3"/>
      <c r="O99" s="3">
        <v>30646350</v>
      </c>
      <c r="P99" s="3"/>
      <c r="Q99" s="3">
        <v>30646350</v>
      </c>
      <c r="R99" s="3"/>
      <c r="S99" s="3">
        <v>39646350</v>
      </c>
      <c r="T99" s="3"/>
      <c r="U99" s="3">
        <v>39646350</v>
      </c>
      <c r="V99" s="3"/>
      <c r="W99" s="3">
        <v>39646350</v>
      </c>
      <c r="X99" s="3"/>
      <c r="Y99" s="3">
        <v>39592849</v>
      </c>
      <c r="Z99" s="3"/>
      <c r="AA99" s="22">
        <v>43884741</v>
      </c>
      <c r="AB99" s="18"/>
      <c r="AC99" s="22">
        <v>38729175</v>
      </c>
      <c r="AD99" s="18"/>
      <c r="AE99" s="3">
        <v>15529000</v>
      </c>
      <c r="AF99" s="18"/>
      <c r="AG99" s="18"/>
      <c r="AH99" s="18"/>
      <c r="AI99" s="22">
        <v>1250000</v>
      </c>
      <c r="AJ99" s="22"/>
      <c r="AK99" s="22"/>
      <c r="AL99" s="22"/>
      <c r="AM99" s="22">
        <v>0</v>
      </c>
      <c r="AN99" s="22"/>
      <c r="AO99" s="22"/>
      <c r="AP99" s="22"/>
      <c r="AQ99" s="37"/>
      <c r="AR99" s="37"/>
    </row>
    <row r="100" spans="1:44" x14ac:dyDescent="0.25">
      <c r="A100" s="133" t="s">
        <v>21</v>
      </c>
      <c r="B100" s="132"/>
      <c r="C100" s="3">
        <f t="shared" ref="C100:AA100" si="27">C93+C99</f>
        <v>114288501.81999999</v>
      </c>
      <c r="D100" s="3">
        <f t="shared" si="27"/>
        <v>68008770.719999999</v>
      </c>
      <c r="E100" s="3">
        <f t="shared" si="27"/>
        <v>116511079.75999999</v>
      </c>
      <c r="F100" s="3">
        <f t="shared" si="27"/>
        <v>66510808.209999993</v>
      </c>
      <c r="G100" s="3">
        <f t="shared" si="27"/>
        <v>124157416.09000002</v>
      </c>
      <c r="H100" s="3">
        <f t="shared" si="27"/>
        <v>66963948.660000004</v>
      </c>
      <c r="I100" s="3">
        <f t="shared" si="27"/>
        <v>123086498.88000001</v>
      </c>
      <c r="J100" s="3">
        <f t="shared" si="27"/>
        <v>69371696.100000009</v>
      </c>
      <c r="K100" s="3">
        <f t="shared" si="27"/>
        <v>124338367.95999999</v>
      </c>
      <c r="L100" s="3">
        <f t="shared" si="27"/>
        <v>72494645.030000001</v>
      </c>
      <c r="M100" s="3">
        <f t="shared" si="27"/>
        <v>125996638.34</v>
      </c>
      <c r="N100" s="3">
        <f t="shared" si="27"/>
        <v>74699098.340000004</v>
      </c>
      <c r="O100" s="3">
        <f t="shared" si="27"/>
        <v>123599288.27</v>
      </c>
      <c r="P100" s="3">
        <f t="shared" si="27"/>
        <v>82357876.220000014</v>
      </c>
      <c r="Q100" s="3">
        <f t="shared" si="27"/>
        <v>128095881.20999998</v>
      </c>
      <c r="R100" s="3">
        <f t="shared" si="27"/>
        <v>74441297.569999993</v>
      </c>
      <c r="S100" s="3">
        <f t="shared" si="27"/>
        <v>136401625.49000001</v>
      </c>
      <c r="T100" s="3">
        <f t="shared" si="27"/>
        <v>74719949.890000001</v>
      </c>
      <c r="U100" s="3">
        <f t="shared" si="27"/>
        <v>136999081.71999997</v>
      </c>
      <c r="V100" s="3">
        <f t="shared" si="27"/>
        <v>74918061.669999987</v>
      </c>
      <c r="W100" s="3">
        <f t="shared" si="27"/>
        <v>143078032.53</v>
      </c>
      <c r="X100" s="3">
        <f t="shared" si="27"/>
        <v>71550048.36999999</v>
      </c>
      <c r="Y100" s="3">
        <f t="shared" si="27"/>
        <v>179105676.16999999</v>
      </c>
      <c r="Z100" s="3">
        <f t="shared" si="27"/>
        <v>116277638.82999998</v>
      </c>
      <c r="AA100" s="22">
        <f t="shared" si="27"/>
        <v>180677679.08000001</v>
      </c>
      <c r="AB100" s="22">
        <f>AB93+AB99</f>
        <v>43344897.469999999</v>
      </c>
      <c r="AC100" s="22">
        <f t="shared" ref="AC100:AP100" si="28">AC93+AC99</f>
        <v>249815793.58000001</v>
      </c>
      <c r="AD100" s="22">
        <f t="shared" si="28"/>
        <v>119975047.31999999</v>
      </c>
      <c r="AE100" s="3">
        <f t="shared" si="28"/>
        <v>225591888.64999998</v>
      </c>
      <c r="AF100" s="3">
        <f t="shared" si="28"/>
        <v>99495187.609999999</v>
      </c>
      <c r="AG100" s="3">
        <f t="shared" si="28"/>
        <v>86313931.799999982</v>
      </c>
      <c r="AH100" s="3">
        <f t="shared" si="28"/>
        <v>23141374.309999999</v>
      </c>
      <c r="AI100" s="22">
        <f t="shared" si="28"/>
        <v>130196217.90000001</v>
      </c>
      <c r="AJ100" s="22">
        <f t="shared" si="28"/>
        <v>32163242.649999999</v>
      </c>
      <c r="AK100" s="22">
        <f t="shared" si="28"/>
        <v>14429840.109999999</v>
      </c>
      <c r="AL100" s="22">
        <f t="shared" si="28"/>
        <v>0</v>
      </c>
      <c r="AM100" s="22">
        <f t="shared" si="28"/>
        <v>110206071.34</v>
      </c>
      <c r="AN100" s="22">
        <f t="shared" si="28"/>
        <v>26197666.589999996</v>
      </c>
      <c r="AO100" s="22">
        <f t="shared" si="28"/>
        <v>952355</v>
      </c>
      <c r="AP100" s="22">
        <f t="shared" si="28"/>
        <v>571235</v>
      </c>
      <c r="AQ100" s="36">
        <f>AM100/AI100-1</f>
        <v>-0.1535386118155434</v>
      </c>
      <c r="AR100" s="36">
        <f>AO100/AK100-1</f>
        <v>-0.93400100120721297</v>
      </c>
    </row>
    <row r="101" spans="1:44" x14ac:dyDescent="0.25">
      <c r="A101" s="109" t="s">
        <v>22</v>
      </c>
      <c r="B101" s="13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21"/>
      <c r="AN101" s="21"/>
      <c r="AO101" s="21"/>
      <c r="AP101" s="21"/>
      <c r="AQ101" s="21"/>
      <c r="AR101" s="21"/>
    </row>
    <row r="102" spans="1:44" x14ac:dyDescent="0.25">
      <c r="A102" s="109" t="s">
        <v>27</v>
      </c>
      <c r="B102" s="132"/>
      <c r="C102" s="4">
        <v>102575991</v>
      </c>
      <c r="D102" s="4">
        <v>63430848.460000001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x14ac:dyDescent="0.25">
      <c r="A103" s="109" t="s">
        <v>26</v>
      </c>
      <c r="B103" s="132"/>
      <c r="C103" s="4">
        <f>C100-C102</f>
        <v>11712510.819999993</v>
      </c>
      <c r="D103" s="4">
        <f>D100-D102</f>
        <v>4577922.2599999979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x14ac:dyDescent="0.25">
      <c r="A104" s="109" t="s">
        <v>40</v>
      </c>
      <c r="B104" s="13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1">
        <v>2369961.35</v>
      </c>
      <c r="AB104" s="21">
        <v>2369961.35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x14ac:dyDescent="0.25">
      <c r="AM105" s="48"/>
      <c r="AN105" s="48"/>
      <c r="AO105" s="48"/>
      <c r="AP105" s="48"/>
      <c r="AQ105" s="48"/>
      <c r="AR105" s="48"/>
    </row>
    <row r="106" spans="1:44" x14ac:dyDescent="0.25">
      <c r="AM106" s="48"/>
      <c r="AN106" s="48"/>
      <c r="AO106" s="48"/>
      <c r="AP106" s="48"/>
      <c r="AQ106" s="48"/>
      <c r="AR106" s="48"/>
    </row>
    <row r="107" spans="1:44" x14ac:dyDescent="0.25">
      <c r="AM107" s="48"/>
      <c r="AN107" s="48"/>
      <c r="AO107" s="48"/>
      <c r="AP107" s="48"/>
      <c r="AQ107" s="48"/>
      <c r="AR107" s="48"/>
    </row>
    <row r="108" spans="1:44" x14ac:dyDescent="0.25">
      <c r="AM108" s="48"/>
      <c r="AN108" s="48"/>
      <c r="AO108" s="48"/>
      <c r="AP108" s="48"/>
      <c r="AQ108" s="48"/>
      <c r="AR108" s="48"/>
    </row>
    <row r="109" spans="1:44" x14ac:dyDescent="0.25">
      <c r="AM109" s="48"/>
      <c r="AN109" s="48"/>
      <c r="AO109" s="48"/>
      <c r="AP109" s="48"/>
      <c r="AQ109" s="48"/>
      <c r="AR109" s="48"/>
    </row>
    <row r="110" spans="1:44" x14ac:dyDescent="0.25">
      <c r="AM110" s="48"/>
      <c r="AN110" s="48"/>
      <c r="AO110" s="48"/>
      <c r="AP110" s="48"/>
      <c r="AQ110" s="48"/>
      <c r="AR110" s="48"/>
    </row>
    <row r="111" spans="1:44" x14ac:dyDescent="0.25">
      <c r="AM111" s="48"/>
      <c r="AN111" s="48"/>
      <c r="AO111" s="48"/>
      <c r="AP111" s="48"/>
      <c r="AQ111" s="48"/>
      <c r="AR111" s="48"/>
    </row>
    <row r="112" spans="1:44" x14ac:dyDescent="0.25">
      <c r="AM112" s="48"/>
      <c r="AN112" s="48"/>
      <c r="AO112" s="48"/>
      <c r="AP112" s="48"/>
      <c r="AQ112" s="48"/>
      <c r="AR112" s="48"/>
    </row>
    <row r="113" spans="39:44" x14ac:dyDescent="0.25">
      <c r="AM113" s="48"/>
      <c r="AN113" s="48"/>
      <c r="AO113" s="48"/>
      <c r="AP113" s="48"/>
      <c r="AQ113" s="48"/>
      <c r="AR113" s="48"/>
    </row>
    <row r="114" spans="39:44" x14ac:dyDescent="0.25">
      <c r="AM114" s="48"/>
      <c r="AN114" s="48"/>
      <c r="AO114" s="48"/>
      <c r="AP114" s="48"/>
      <c r="AQ114" s="48"/>
      <c r="AR114" s="48"/>
    </row>
  </sheetData>
  <mergeCells count="470"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Q89:AQ90"/>
    <mergeCell ref="AR89:AR90"/>
    <mergeCell ref="A90:B90"/>
    <mergeCell ref="A91:B91"/>
    <mergeCell ref="AP82:AP83"/>
    <mergeCell ref="AQ82:AQ83"/>
    <mergeCell ref="AR82:AR83"/>
    <mergeCell ref="A84:B84"/>
    <mergeCell ref="A85:B85"/>
    <mergeCell ref="A86:B86"/>
    <mergeCell ref="AJ82:AJ83"/>
    <mergeCell ref="AK82:AK83"/>
    <mergeCell ref="AL82:AL83"/>
    <mergeCell ref="AM82:AM83"/>
    <mergeCell ref="AN82:AN83"/>
    <mergeCell ref="AO82:AO83"/>
    <mergeCell ref="AD82:AD83"/>
    <mergeCell ref="AE82:AE83"/>
    <mergeCell ref="AF82:AF83"/>
    <mergeCell ref="AG82:AG83"/>
    <mergeCell ref="AH82:AH83"/>
    <mergeCell ref="AI82:AI83"/>
    <mergeCell ref="X82:X83"/>
    <mergeCell ref="Y82:Y83"/>
    <mergeCell ref="Z82:Z83"/>
    <mergeCell ref="AA82:AA83"/>
    <mergeCell ref="AB82:AB83"/>
    <mergeCell ref="AC82:AC83"/>
    <mergeCell ref="R82:R83"/>
    <mergeCell ref="S82:S83"/>
    <mergeCell ref="T82:T83"/>
    <mergeCell ref="U82:U83"/>
    <mergeCell ref="V82:V83"/>
    <mergeCell ref="W82:W83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A80:B80"/>
    <mergeCell ref="A81:B81"/>
    <mergeCell ref="A82:B83"/>
    <mergeCell ref="C82:C83"/>
    <mergeCell ref="D82:D83"/>
    <mergeCell ref="E82:E83"/>
    <mergeCell ref="AP75:AP76"/>
    <mergeCell ref="AQ75:AQ76"/>
    <mergeCell ref="AR75:AR76"/>
    <mergeCell ref="A77:B77"/>
    <mergeCell ref="A78:B78"/>
    <mergeCell ref="A79:B79"/>
    <mergeCell ref="AJ75:AJ76"/>
    <mergeCell ref="AK75:AK76"/>
    <mergeCell ref="AL75:AL76"/>
    <mergeCell ref="AM75:AM76"/>
    <mergeCell ref="AN75:AN76"/>
    <mergeCell ref="AO75:AO76"/>
    <mergeCell ref="AD75:AD76"/>
    <mergeCell ref="AE75:AE76"/>
    <mergeCell ref="AF75:AF76"/>
    <mergeCell ref="AG75:AG76"/>
    <mergeCell ref="AH75:AH76"/>
    <mergeCell ref="AI75:AI76"/>
    <mergeCell ref="X75:X76"/>
    <mergeCell ref="Y75:Y76"/>
    <mergeCell ref="Z75:Z76"/>
    <mergeCell ref="AA75:AA76"/>
    <mergeCell ref="AB75:AB76"/>
    <mergeCell ref="AC75:AC76"/>
    <mergeCell ref="R75:R76"/>
    <mergeCell ref="S75:S76"/>
    <mergeCell ref="T75:T76"/>
    <mergeCell ref="U75:U76"/>
    <mergeCell ref="V75:V76"/>
    <mergeCell ref="W75:W76"/>
    <mergeCell ref="L75:L76"/>
    <mergeCell ref="M75:M76"/>
    <mergeCell ref="N75:N76"/>
    <mergeCell ref="O75:O76"/>
    <mergeCell ref="P75:P76"/>
    <mergeCell ref="Q75:Q76"/>
    <mergeCell ref="F75:F76"/>
    <mergeCell ref="G75:G76"/>
    <mergeCell ref="H75:H76"/>
    <mergeCell ref="I75:I76"/>
    <mergeCell ref="J75:J76"/>
    <mergeCell ref="K75:K76"/>
    <mergeCell ref="A73:B73"/>
    <mergeCell ref="A74:B74"/>
    <mergeCell ref="A75:B76"/>
    <mergeCell ref="C75:C76"/>
    <mergeCell ref="D75:D76"/>
    <mergeCell ref="E75:E76"/>
    <mergeCell ref="Z68:Z69"/>
    <mergeCell ref="AQ68:AQ69"/>
    <mergeCell ref="AR68:AR69"/>
    <mergeCell ref="A70:B70"/>
    <mergeCell ref="A71:B71"/>
    <mergeCell ref="A72:B72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B69"/>
    <mergeCell ref="C68:C69"/>
    <mergeCell ref="D68:D69"/>
    <mergeCell ref="E68:E69"/>
    <mergeCell ref="F68:F69"/>
    <mergeCell ref="G68:G69"/>
    <mergeCell ref="AR61:AR62"/>
    <mergeCell ref="A63:B63"/>
    <mergeCell ref="A64:B64"/>
    <mergeCell ref="A65:B65"/>
    <mergeCell ref="A66:B66"/>
    <mergeCell ref="A67:B67"/>
    <mergeCell ref="AL61:AL62"/>
    <mergeCell ref="AM61:AM62"/>
    <mergeCell ref="AN61:AN62"/>
    <mergeCell ref="AO61:AO62"/>
    <mergeCell ref="AP61:AP62"/>
    <mergeCell ref="AQ61:AQ62"/>
    <mergeCell ref="AF61:AF62"/>
    <mergeCell ref="AG61:AG62"/>
    <mergeCell ref="AH61:AH62"/>
    <mergeCell ref="AI61:AI62"/>
    <mergeCell ref="AJ61:AJ62"/>
    <mergeCell ref="AK61:AK62"/>
    <mergeCell ref="Z61:Z62"/>
    <mergeCell ref="AA61:AA62"/>
    <mergeCell ref="AB61:AB62"/>
    <mergeCell ref="AC61:AC62"/>
    <mergeCell ref="AD61:AD62"/>
    <mergeCell ref="AE61:AE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H61:H62"/>
    <mergeCell ref="I61:I62"/>
    <mergeCell ref="J61:J62"/>
    <mergeCell ref="K61:K62"/>
    <mergeCell ref="L61:L62"/>
    <mergeCell ref="M61:M62"/>
    <mergeCell ref="A61:B62"/>
    <mergeCell ref="C61:C62"/>
    <mergeCell ref="D61:D62"/>
    <mergeCell ref="E61:E62"/>
    <mergeCell ref="F61:F62"/>
    <mergeCell ref="G61:G62"/>
    <mergeCell ref="AR54:AR55"/>
    <mergeCell ref="A56:B56"/>
    <mergeCell ref="A57:B57"/>
    <mergeCell ref="A58:B58"/>
    <mergeCell ref="A59:B59"/>
    <mergeCell ref="A60:B60"/>
    <mergeCell ref="AL54:AL55"/>
    <mergeCell ref="AM54:AM55"/>
    <mergeCell ref="AN54:AN55"/>
    <mergeCell ref="AO54:AO55"/>
    <mergeCell ref="AP54:AP55"/>
    <mergeCell ref="AQ54:AQ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B55"/>
    <mergeCell ref="C54:C55"/>
    <mergeCell ref="D54:D55"/>
    <mergeCell ref="E54:E55"/>
    <mergeCell ref="F54:F55"/>
    <mergeCell ref="G54:G55"/>
    <mergeCell ref="AR47:AR48"/>
    <mergeCell ref="A49:B49"/>
    <mergeCell ref="A50:B50"/>
    <mergeCell ref="A51:B51"/>
    <mergeCell ref="A52:B52"/>
    <mergeCell ref="A53:B53"/>
    <mergeCell ref="AL47:AL48"/>
    <mergeCell ref="AM47:AM48"/>
    <mergeCell ref="AN47:AN48"/>
    <mergeCell ref="AO47:AO48"/>
    <mergeCell ref="AP47:AP48"/>
    <mergeCell ref="AQ47:AQ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AR40:AR41"/>
    <mergeCell ref="A42:B42"/>
    <mergeCell ref="A43:B43"/>
    <mergeCell ref="A44:B44"/>
    <mergeCell ref="A45:B45"/>
    <mergeCell ref="A46:B46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A40:B41"/>
    <mergeCell ref="C40:C41"/>
    <mergeCell ref="D40:D41"/>
    <mergeCell ref="E40:E41"/>
    <mergeCell ref="F40:F41"/>
    <mergeCell ref="G40:G41"/>
    <mergeCell ref="AR33:AR34"/>
    <mergeCell ref="A35:B35"/>
    <mergeCell ref="A36:B36"/>
    <mergeCell ref="A37:B37"/>
    <mergeCell ref="A38:B38"/>
    <mergeCell ref="A39:B39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R8:AR9"/>
    <mergeCell ref="A10:B10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A8:B9"/>
    <mergeCell ref="C8:C9"/>
    <mergeCell ref="D8:D9"/>
    <mergeCell ref="E8:E9"/>
    <mergeCell ref="F8:F9"/>
    <mergeCell ref="G8:G9"/>
    <mergeCell ref="S5:T6"/>
    <mergeCell ref="U5:V6"/>
    <mergeCell ref="W5:X6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E5:AH6"/>
    <mergeCell ref="AI5:AL6"/>
    <mergeCell ref="AM5:AP6"/>
    <mergeCell ref="AQ5:AR6"/>
    <mergeCell ref="Y5:Z6"/>
    <mergeCell ref="AA5:AB6"/>
    <mergeCell ref="AC5:AD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32" sqref="B32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86"/>
  <sheetViews>
    <sheetView workbookViewId="0">
      <pane xSplit="28" ySplit="7" topLeftCell="AC8" activePane="bottomRight" state="frozen"/>
      <selection pane="topRight" activeCell="AC1" sqref="AC1"/>
      <selection pane="bottomLeft" activeCell="A8" sqref="A8"/>
      <selection pane="bottomRight" activeCell="AJ24" sqref="AJ24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42" width="14" customWidth="1"/>
    <col min="44" max="44" width="11.5703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43497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11" t="s">
        <v>6</v>
      </c>
      <c r="AR7" s="11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49956038.890000001</v>
      </c>
      <c r="AN8" s="120">
        <f>AN10+AN11+AN12+AN13+AN14</f>
        <v>295038.18000000005</v>
      </c>
      <c r="AO8" s="120">
        <f>AO10+AO11+AO12+AO13+AO14</f>
        <v>0</v>
      </c>
      <c r="AP8" s="120">
        <f>AP10+AP11+AP12+AP13+AP14</f>
        <v>0</v>
      </c>
      <c r="AQ8" s="116">
        <f>AM8/AI8-1</f>
        <v>0.18005229665694733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45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f>2912301.05+39996995.24+1092420.22+40372.92</f>
        <v>44042089.43</v>
      </c>
      <c r="AN10" s="19">
        <v>6153.73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f>1790643.41+1425957.4+253908</f>
        <v>3470508.8099999996</v>
      </c>
      <c r="AN11" s="19">
        <v>203089.42</v>
      </c>
      <c r="AO11" s="19"/>
      <c r="AP11" s="19"/>
      <c r="AQ11" s="34"/>
      <c r="AR11" s="34"/>
    </row>
    <row r="12" spans="1:44" ht="44.25" customHeight="1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f>1216864.99+1011311.24+215264.42</f>
        <v>2443440.65</v>
      </c>
      <c r="AN13" s="19">
        <v>85795.03</v>
      </c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9"/>
      <c r="AN14" s="19"/>
      <c r="AO14" s="19"/>
      <c r="AP14" s="19"/>
      <c r="AQ14" s="34"/>
      <c r="AR14" s="34"/>
    </row>
    <row r="15" spans="1:44" x14ac:dyDescent="0.25">
      <c r="A15" s="111" t="s">
        <v>1</v>
      </c>
      <c r="B15" s="112"/>
      <c r="C15" s="115">
        <f>SUM(C17:C21)</f>
        <v>0</v>
      </c>
      <c r="D15" s="115">
        <f>SUM(D17:D21)</f>
        <v>0</v>
      </c>
      <c r="E15" s="115">
        <f t="shared" ref="E15:AD15" si="1">SUM(E17:E21)</f>
        <v>35747.5</v>
      </c>
      <c r="F15" s="115">
        <f t="shared" si="1"/>
        <v>0</v>
      </c>
      <c r="G15" s="115">
        <f t="shared" si="1"/>
        <v>0</v>
      </c>
      <c r="H15" s="115">
        <f t="shared" si="1"/>
        <v>0</v>
      </c>
      <c r="I15" s="115">
        <f t="shared" si="1"/>
        <v>0</v>
      </c>
      <c r="J15" s="115">
        <f t="shared" si="1"/>
        <v>0</v>
      </c>
      <c r="K15" s="115">
        <f t="shared" si="1"/>
        <v>120756.41</v>
      </c>
      <c r="L15" s="115">
        <f t="shared" si="1"/>
        <v>0</v>
      </c>
      <c r="M15" s="115">
        <f t="shared" si="1"/>
        <v>144077.24</v>
      </c>
      <c r="N15" s="115">
        <f t="shared" si="1"/>
        <v>0</v>
      </c>
      <c r="O15" s="115">
        <f t="shared" si="1"/>
        <v>122267.09</v>
      </c>
      <c r="P15" s="115">
        <f t="shared" si="1"/>
        <v>0</v>
      </c>
      <c r="Q15" s="115">
        <f t="shared" si="1"/>
        <v>81760.240000000005</v>
      </c>
      <c r="R15" s="115">
        <f t="shared" si="1"/>
        <v>0</v>
      </c>
      <c r="S15" s="115">
        <f t="shared" si="1"/>
        <v>68067.33</v>
      </c>
      <c r="T15" s="115">
        <f t="shared" si="1"/>
        <v>0</v>
      </c>
      <c r="U15" s="115">
        <f t="shared" si="1"/>
        <v>61711.68</v>
      </c>
      <c r="V15" s="115">
        <f t="shared" si="1"/>
        <v>0</v>
      </c>
      <c r="W15" s="115">
        <f t="shared" si="1"/>
        <v>0</v>
      </c>
      <c r="X15" s="115">
        <f t="shared" si="1"/>
        <v>0</v>
      </c>
      <c r="Y15" s="115">
        <f t="shared" si="1"/>
        <v>217.78</v>
      </c>
      <c r="Z15" s="115">
        <f t="shared" si="1"/>
        <v>0</v>
      </c>
      <c r="AA15" s="128">
        <f t="shared" si="1"/>
        <v>187710.37</v>
      </c>
      <c r="AB15" s="128">
        <f t="shared" si="1"/>
        <v>0</v>
      </c>
      <c r="AC15" s="128">
        <f t="shared" si="1"/>
        <v>333233.98</v>
      </c>
      <c r="AD15" s="128">
        <f t="shared" si="1"/>
        <v>0</v>
      </c>
      <c r="AE15" s="126">
        <f t="shared" ref="AE15:AL15" si="2">AE17+AE18+AE19+AE20+AE21</f>
        <v>667959.52</v>
      </c>
      <c r="AF15" s="126">
        <f t="shared" si="2"/>
        <v>0</v>
      </c>
      <c r="AG15" s="126">
        <f t="shared" si="2"/>
        <v>94034.71</v>
      </c>
      <c r="AH15" s="126">
        <f t="shared" si="2"/>
        <v>0</v>
      </c>
      <c r="AI15" s="122">
        <f t="shared" si="2"/>
        <v>797761.55</v>
      </c>
      <c r="AJ15" s="122">
        <f t="shared" si="2"/>
        <v>0</v>
      </c>
      <c r="AK15" s="122">
        <v>0</v>
      </c>
      <c r="AL15" s="122">
        <f t="shared" si="2"/>
        <v>0</v>
      </c>
      <c r="AM15" s="122">
        <f>AM17+AM18+AM19+AM20+AM21</f>
        <v>693326.21</v>
      </c>
      <c r="AN15" s="122">
        <f>AN17+AN18+AN19+AN20+AN21</f>
        <v>0</v>
      </c>
      <c r="AO15" s="122">
        <f>AO17+AO18+AO19+AO20+AO21</f>
        <v>0</v>
      </c>
      <c r="AP15" s="122">
        <f>AP17+AP18+AP19+AP20+AP21</f>
        <v>0</v>
      </c>
      <c r="AQ15" s="116">
        <f>AM15/AI15-1</f>
        <v>-0.13091047067886397</v>
      </c>
      <c r="AR15" s="116" t="e">
        <f>AO15/AK15-1</f>
        <v>#DIV/0!</v>
      </c>
    </row>
    <row r="16" spans="1:44" x14ac:dyDescent="0.25">
      <c r="A16" s="113"/>
      <c r="B16" s="114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25"/>
      <c r="AB16" s="125"/>
      <c r="AC16" s="125"/>
      <c r="AD16" s="125"/>
      <c r="AE16" s="127"/>
      <c r="AF16" s="127"/>
      <c r="AG16" s="127"/>
      <c r="AH16" s="127"/>
      <c r="AI16" s="123"/>
      <c r="AJ16" s="123"/>
      <c r="AK16" s="123"/>
      <c r="AL16" s="123"/>
      <c r="AM16" s="123"/>
      <c r="AN16" s="123"/>
      <c r="AO16" s="123"/>
      <c r="AP16" s="123"/>
      <c r="AQ16" s="117"/>
      <c r="AR16" s="117"/>
    </row>
    <row r="17" spans="1:47" ht="43.5" customHeight="1" x14ac:dyDescent="0.25">
      <c r="A17" s="109" t="s">
        <v>11</v>
      </c>
      <c r="B17" s="110"/>
      <c r="C17" s="2"/>
      <c r="D17" s="2"/>
      <c r="E17" s="2">
        <v>35747.5</v>
      </c>
      <c r="F17" s="2"/>
      <c r="G17" s="2"/>
      <c r="H17" s="2"/>
      <c r="I17" s="2"/>
      <c r="J17" s="2"/>
      <c r="K17" s="2">
        <v>120756.41</v>
      </c>
      <c r="L17" s="2"/>
      <c r="M17" s="2">
        <v>144077.24</v>
      </c>
      <c r="N17" s="2"/>
      <c r="O17" s="2">
        <v>122267.09</v>
      </c>
      <c r="P17" s="2"/>
      <c r="Q17" s="2">
        <v>67770.240000000005</v>
      </c>
      <c r="R17" s="2"/>
      <c r="S17" s="2">
        <f>65281.19+2786.14</f>
        <v>68067.33</v>
      </c>
      <c r="T17" s="2"/>
      <c r="U17" s="2">
        <v>61711.68</v>
      </c>
      <c r="V17" s="2"/>
      <c r="W17" s="2"/>
      <c r="X17" s="2"/>
      <c r="Y17" s="2">
        <v>217.78</v>
      </c>
      <c r="Z17" s="2"/>
      <c r="AA17" s="16">
        <v>35</v>
      </c>
      <c r="AB17" s="16"/>
      <c r="AC17" s="16">
        <f>27611.35+117602.07</f>
        <v>145213.42000000001</v>
      </c>
      <c r="AD17" s="13"/>
      <c r="AE17" s="23">
        <f>56332.86+251324.18</f>
        <v>307657.03999999998</v>
      </c>
      <c r="AF17" s="13"/>
      <c r="AG17" s="23">
        <f>3600+90434.71</f>
        <v>94034.71</v>
      </c>
      <c r="AH17" s="23"/>
      <c r="AI17" s="16">
        <f>30567.15+190377.23</f>
        <v>220944.38</v>
      </c>
      <c r="AJ17" s="16"/>
      <c r="AK17" s="16"/>
      <c r="AL17" s="16"/>
      <c r="AM17" s="16">
        <f>55833.16+238882.4</f>
        <v>294715.56</v>
      </c>
      <c r="AN17" s="16"/>
      <c r="AO17" s="16"/>
      <c r="AP17" s="16"/>
      <c r="AQ17" s="24"/>
      <c r="AR17" s="24"/>
    </row>
    <row r="18" spans="1:47" ht="15.75" customHeight="1" x14ac:dyDescent="0.25">
      <c r="A18" s="109" t="s">
        <v>8</v>
      </c>
      <c r="B18" s="1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6">
        <v>172262.37</v>
      </c>
      <c r="AB18" s="16"/>
      <c r="AC18" s="16">
        <v>188020.56</v>
      </c>
      <c r="AD18" s="13"/>
      <c r="AE18" s="23">
        <v>225161</v>
      </c>
      <c r="AF18" s="13"/>
      <c r="AG18" s="13"/>
      <c r="AH18" s="13"/>
      <c r="AI18" s="16">
        <v>372715</v>
      </c>
      <c r="AJ18" s="16"/>
      <c r="AK18" s="16"/>
      <c r="AL18" s="16"/>
      <c r="AM18" s="16">
        <v>279657.15999999997</v>
      </c>
      <c r="AN18" s="16"/>
      <c r="AO18" s="16"/>
      <c r="AP18" s="16"/>
      <c r="AQ18" s="24"/>
      <c r="AR18" s="24"/>
    </row>
    <row r="19" spans="1:47" ht="43.5" customHeight="1" x14ac:dyDescent="0.25">
      <c r="A19" s="109" t="s">
        <v>9</v>
      </c>
      <c r="B19" s="1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6"/>
      <c r="AB19" s="16"/>
      <c r="AC19" s="13"/>
      <c r="AD19" s="13"/>
      <c r="AE19" s="23"/>
      <c r="AF19" s="13"/>
      <c r="AG19" s="13"/>
      <c r="AH19" s="13"/>
      <c r="AI19" s="16"/>
      <c r="AJ19" s="16"/>
      <c r="AK19" s="16"/>
      <c r="AL19" s="16"/>
      <c r="AM19" s="16"/>
      <c r="AN19" s="16"/>
      <c r="AO19" s="16"/>
      <c r="AP19" s="16"/>
      <c r="AQ19" s="24"/>
      <c r="AR19" s="24"/>
    </row>
    <row r="20" spans="1:47" ht="18" customHeight="1" x14ac:dyDescent="0.25">
      <c r="A20" s="109" t="s">
        <v>10</v>
      </c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13990</v>
      </c>
      <c r="R20" s="2"/>
      <c r="S20" s="2"/>
      <c r="T20" s="2"/>
      <c r="U20" s="2"/>
      <c r="V20" s="2"/>
      <c r="W20" s="2"/>
      <c r="X20" s="2"/>
      <c r="Y20" s="2"/>
      <c r="Z20" s="2"/>
      <c r="AA20" s="16">
        <v>15413</v>
      </c>
      <c r="AB20" s="16"/>
      <c r="AC20" s="13"/>
      <c r="AD20" s="13"/>
      <c r="AE20" s="23">
        <v>135141.48000000001</v>
      </c>
      <c r="AF20" s="13"/>
      <c r="AG20" s="13"/>
      <c r="AH20" s="13"/>
      <c r="AI20" s="16">
        <v>204102.17</v>
      </c>
      <c r="AJ20" s="16"/>
      <c r="AK20" s="16"/>
      <c r="AL20" s="16"/>
      <c r="AM20" s="16">
        <v>118953.49</v>
      </c>
      <c r="AN20" s="16"/>
      <c r="AO20" s="16"/>
      <c r="AP20" s="16"/>
      <c r="AQ20" s="24"/>
      <c r="AR20" s="24"/>
    </row>
    <row r="21" spans="1:47" ht="30.75" customHeight="1" x14ac:dyDescent="0.25">
      <c r="A21" s="109" t="s">
        <v>16</v>
      </c>
      <c r="B21" s="1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6"/>
      <c r="AB21" s="16"/>
      <c r="AC21" s="13"/>
      <c r="AD21" s="13"/>
      <c r="AE21" s="13"/>
      <c r="AF21" s="13"/>
      <c r="AG21" s="13"/>
      <c r="AH21" s="13"/>
      <c r="AI21" s="16"/>
      <c r="AJ21" s="16"/>
      <c r="AK21" s="16"/>
      <c r="AL21" s="16"/>
      <c r="AM21" s="16"/>
      <c r="AN21" s="16"/>
      <c r="AO21" s="16"/>
      <c r="AP21" s="16"/>
      <c r="AQ21" s="24"/>
      <c r="AR21" s="24"/>
    </row>
    <row r="22" spans="1:47" x14ac:dyDescent="0.25">
      <c r="A22" s="111" t="s">
        <v>2</v>
      </c>
      <c r="B22" s="112"/>
      <c r="C22" s="115">
        <v>54846675.530000001</v>
      </c>
      <c r="D22" s="115">
        <v>48940486.590000004</v>
      </c>
      <c r="E22" s="115">
        <f>SUM(E24:E28)</f>
        <v>64656891.350000001</v>
      </c>
      <c r="F22" s="115">
        <f>SUM(F24:F28)</f>
        <v>51440732.669999994</v>
      </c>
      <c r="G22" s="115">
        <f t="shared" ref="G22:AD22" si="3">SUM(G24:G28)</f>
        <v>69207433.140000001</v>
      </c>
      <c r="H22" s="115">
        <f t="shared" si="3"/>
        <v>50454846.649999999</v>
      </c>
      <c r="I22" s="115">
        <f t="shared" si="3"/>
        <v>70742852.230000004</v>
      </c>
      <c r="J22" s="115">
        <f t="shared" si="3"/>
        <v>55024116.890000001</v>
      </c>
      <c r="K22" s="115">
        <f t="shared" si="3"/>
        <v>70605066.099999994</v>
      </c>
      <c r="L22" s="115">
        <f t="shared" si="3"/>
        <v>57943952.730000004</v>
      </c>
      <c r="M22" s="115">
        <f t="shared" si="3"/>
        <v>73371785.549999997</v>
      </c>
      <c r="N22" s="115">
        <f t="shared" si="3"/>
        <v>57519633.82</v>
      </c>
      <c r="O22" s="115">
        <f t="shared" si="3"/>
        <v>69857012.25</v>
      </c>
      <c r="P22" s="115">
        <f t="shared" si="3"/>
        <v>65548817.789999999</v>
      </c>
      <c r="Q22" s="115">
        <f t="shared" si="3"/>
        <v>71509757.569999993</v>
      </c>
      <c r="R22" s="115">
        <f t="shared" si="3"/>
        <v>57862859.439999998</v>
      </c>
      <c r="S22" s="115">
        <f t="shared" si="3"/>
        <v>71486946.959999993</v>
      </c>
      <c r="T22" s="115">
        <f t="shared" si="3"/>
        <v>57789918.439999998</v>
      </c>
      <c r="U22" s="115">
        <f t="shared" si="3"/>
        <v>70592079.479999989</v>
      </c>
      <c r="V22" s="115">
        <f t="shared" si="3"/>
        <v>61579945.239999995</v>
      </c>
      <c r="W22" s="115">
        <f t="shared" si="3"/>
        <v>66866461.460000001</v>
      </c>
      <c r="X22" s="115">
        <f t="shared" si="3"/>
        <v>57735277.960000001</v>
      </c>
      <c r="Y22" s="115">
        <f t="shared" si="3"/>
        <v>103038065.23999999</v>
      </c>
      <c r="Z22" s="115">
        <f t="shared" si="3"/>
        <v>90836160.789999992</v>
      </c>
      <c r="AA22" s="128">
        <f t="shared" si="3"/>
        <v>56387437.119999997</v>
      </c>
      <c r="AB22" s="128">
        <f t="shared" si="3"/>
        <v>15533763.189999999</v>
      </c>
      <c r="AC22" s="128">
        <f t="shared" si="3"/>
        <v>119943838.53</v>
      </c>
      <c r="AD22" s="128">
        <f t="shared" si="3"/>
        <v>72448338.349999994</v>
      </c>
      <c r="AE22" s="126">
        <f t="shared" ref="AE22:AL22" si="4">AE24+AE25+AE26+AE27+AE28</f>
        <v>98597337.969999999</v>
      </c>
      <c r="AF22" s="126">
        <f t="shared" si="4"/>
        <v>28249113.57</v>
      </c>
      <c r="AG22" s="126">
        <f t="shared" si="4"/>
        <v>52538002.529999994</v>
      </c>
      <c r="AH22" s="126">
        <f t="shared" si="4"/>
        <v>0</v>
      </c>
      <c r="AI22" s="122">
        <f t="shared" si="4"/>
        <v>63217359.389999993</v>
      </c>
      <c r="AJ22" s="122">
        <f t="shared" si="4"/>
        <v>27862807.449999999</v>
      </c>
      <c r="AK22" s="122">
        <f t="shared" si="4"/>
        <v>9411597.2899999991</v>
      </c>
      <c r="AL22" s="122">
        <f t="shared" si="4"/>
        <v>0</v>
      </c>
      <c r="AM22" s="122">
        <f>AM24+AM25+AM26+AM27+AM28</f>
        <v>58967491.770000003</v>
      </c>
      <c r="AN22" s="122">
        <f>AN24+AN25+AN26+AN27+AN28</f>
        <v>28071327.969999999</v>
      </c>
      <c r="AO22" s="122">
        <f>AO24+AO25+AO26+AO27+AO28</f>
        <v>4461405.8499999996</v>
      </c>
      <c r="AP22" s="122">
        <f>AP24+AP25+AP26+AP27+AP28</f>
        <v>0</v>
      </c>
      <c r="AQ22" s="116">
        <f>AM22/AI22-1</f>
        <v>-6.7226275520015699E-2</v>
      </c>
      <c r="AR22" s="116">
        <f>AO22/AK22-1</f>
        <v>-0.52596719637161615</v>
      </c>
    </row>
    <row r="23" spans="1:47" ht="12" customHeight="1" x14ac:dyDescent="0.25">
      <c r="A23" s="113"/>
      <c r="B23" s="11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25"/>
      <c r="AB23" s="125"/>
      <c r="AC23" s="125"/>
      <c r="AD23" s="125"/>
      <c r="AE23" s="127"/>
      <c r="AF23" s="127"/>
      <c r="AG23" s="127"/>
      <c r="AH23" s="127"/>
      <c r="AI23" s="123"/>
      <c r="AJ23" s="123"/>
      <c r="AK23" s="123"/>
      <c r="AL23" s="123"/>
      <c r="AM23" s="123"/>
      <c r="AN23" s="123"/>
      <c r="AO23" s="123"/>
      <c r="AP23" s="123"/>
      <c r="AQ23" s="117"/>
      <c r="AR23" s="117"/>
    </row>
    <row r="24" spans="1:47" ht="43.5" customHeight="1" x14ac:dyDescent="0.25">
      <c r="A24" s="109" t="s">
        <v>11</v>
      </c>
      <c r="B24" s="110"/>
      <c r="C24" s="2"/>
      <c r="D24" s="2"/>
      <c r="E24" s="2">
        <v>10110055.9</v>
      </c>
      <c r="F24" s="2">
        <f>51442088.62-49312861.59</f>
        <v>2129227.0299999937</v>
      </c>
      <c r="G24" s="2">
        <v>10146692.35</v>
      </c>
      <c r="H24" s="2">
        <v>2129227.0299999998</v>
      </c>
      <c r="I24" s="2">
        <v>14616479.76</v>
      </c>
      <c r="J24" s="2">
        <v>2129227.0299999998</v>
      </c>
      <c r="K24" s="2">
        <v>7843217.96</v>
      </c>
      <c r="L24" s="2">
        <v>2129227.0299999998</v>
      </c>
      <c r="M24" s="2">
        <v>7533070</v>
      </c>
      <c r="N24" s="2">
        <v>2129227.0299999998</v>
      </c>
      <c r="O24" s="2">
        <v>6652443.1100000003</v>
      </c>
      <c r="P24" s="2">
        <v>2344248.65</v>
      </c>
      <c r="Q24" s="2">
        <f>8677372.77+42645.25</f>
        <v>8720018.0199999996</v>
      </c>
      <c r="R24" s="2">
        <f>2344248.65</f>
        <v>2344248.65</v>
      </c>
      <c r="S24" s="2">
        <f>69747.65+9218096.72</f>
        <v>9287844.370000001</v>
      </c>
      <c r="T24" s="2">
        <v>2271307.65</v>
      </c>
      <c r="U24" s="2">
        <f>94170.06+10964271.83</f>
        <v>11058441.890000001</v>
      </c>
      <c r="V24" s="2">
        <f>2046307.65</f>
        <v>2046307.65</v>
      </c>
      <c r="W24" s="2">
        <f>11194823.81+98358.34</f>
        <v>11293182.15</v>
      </c>
      <c r="X24" s="2">
        <f>2161998.65</f>
        <v>2161998.65</v>
      </c>
      <c r="Y24" s="2">
        <v>13594212.15</v>
      </c>
      <c r="Z24" s="2">
        <v>4751435.4800000004</v>
      </c>
      <c r="AA24" s="16">
        <f>77325.12+12375433.35</f>
        <v>12452758.469999999</v>
      </c>
      <c r="AB24" s="16">
        <v>1634678.03</v>
      </c>
      <c r="AC24" s="16">
        <f>263374.33+25371454.14</f>
        <v>25634828.469999999</v>
      </c>
      <c r="AD24" s="16">
        <v>7111498.0199999996</v>
      </c>
      <c r="AE24" s="23">
        <f>361338.29+22200823.79</f>
        <v>22562162.079999998</v>
      </c>
      <c r="AF24" s="23">
        <v>1203080.3799999999</v>
      </c>
      <c r="AG24" s="23">
        <f>223320.42+7979287.52</f>
        <v>8202607.9399999995</v>
      </c>
      <c r="AH24" s="13"/>
      <c r="AI24" s="16">
        <f>58898.5+5757823.28+84105.04+8232493.31</f>
        <v>14133320.129999999</v>
      </c>
      <c r="AJ24" s="16">
        <f>58898.5+84105.04</f>
        <v>143003.53999999998</v>
      </c>
      <c r="AK24" s="16">
        <v>1077110.1399999999</v>
      </c>
      <c r="AL24" s="16"/>
      <c r="AM24" s="16">
        <f>334992.42+7409341.86+198688.51+8787603.01</f>
        <v>16730625.800000001</v>
      </c>
      <c r="AN24" s="16">
        <f>334992.42+198688.51</f>
        <v>533680.92999999993</v>
      </c>
      <c r="AO24" s="16">
        <v>920343.81</v>
      </c>
      <c r="AP24" s="16"/>
      <c r="AQ24" s="24"/>
      <c r="AR24" s="24"/>
      <c r="AU24" s="30"/>
    </row>
    <row r="25" spans="1:47" ht="18" customHeight="1" x14ac:dyDescent="0.25">
      <c r="A25" s="109" t="s">
        <v>8</v>
      </c>
      <c r="B25" s="1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>
        <f>774524.11+20097533.72</f>
        <v>20872057.829999998</v>
      </c>
      <c r="AB25" s="16"/>
      <c r="AC25" s="16">
        <f>815882.11+24539657.77</f>
        <v>25355539.879999999</v>
      </c>
      <c r="AD25" s="16"/>
      <c r="AE25" s="23">
        <f>826423.25+23317982.32</f>
        <v>24144405.57</v>
      </c>
      <c r="AF25" s="23">
        <v>16922780.550000001</v>
      </c>
      <c r="AG25" s="23"/>
      <c r="AH25" s="13"/>
      <c r="AI25" s="16">
        <f>6636427.13+2761581.99+10175763.76+5190667.21</f>
        <v>24764440.090000004</v>
      </c>
      <c r="AJ25" s="16">
        <f>6636427.13+10175763.76</f>
        <v>16812190.890000001</v>
      </c>
      <c r="AK25" s="16"/>
      <c r="AL25" s="16"/>
      <c r="AM25" s="16">
        <f>6388356.07+3034277.19+12712486.9+4705261</f>
        <v>26840381.16</v>
      </c>
      <c r="AN25" s="16">
        <f>6388356.07+12712486.9</f>
        <v>19100842.969999999</v>
      </c>
      <c r="AO25" s="16"/>
      <c r="AP25" s="16"/>
      <c r="AQ25" s="24"/>
      <c r="AR25" s="24"/>
    </row>
    <row r="26" spans="1:47" ht="44.25" customHeight="1" x14ac:dyDescent="0.25">
      <c r="A26" s="109" t="s">
        <v>9</v>
      </c>
      <c r="B26" s="110"/>
      <c r="C26" s="2"/>
      <c r="D26" s="2"/>
      <c r="E26" s="2">
        <v>4317281.3899999997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3356790.95</v>
      </c>
      <c r="Z26" s="2"/>
      <c r="AA26" s="16">
        <f>511757.59+6814505.62</f>
        <v>7326263.21</v>
      </c>
      <c r="AB26" s="16"/>
      <c r="AC26" s="16">
        <f>484038.54+11956133.92</f>
        <v>12440172.459999999</v>
      </c>
      <c r="AD26" s="16">
        <v>10626588</v>
      </c>
      <c r="AE26" s="23">
        <f>871920.5+16450579.56</f>
        <v>17322500.060000002</v>
      </c>
      <c r="AF26" s="23">
        <v>10123252.640000001</v>
      </c>
      <c r="AG26" s="23">
        <f>353493.68+11501508.54</f>
        <v>11855002.219999999</v>
      </c>
      <c r="AH26" s="13"/>
      <c r="AI26" s="16">
        <f>4846101.83+2549979.72+3834472.6+2522828.53</f>
        <v>13753382.68</v>
      </c>
      <c r="AJ26" s="16">
        <f>4846101.83+3834472.6</f>
        <v>8680574.4299999997</v>
      </c>
      <c r="AK26" s="16"/>
      <c r="AL26" s="16"/>
      <c r="AM26" s="16">
        <f>1462293.49+810932.7+5429976.98+2234092</f>
        <v>9937295.1699999999</v>
      </c>
      <c r="AN26" s="16">
        <f>1462293.49+5429976.98</f>
        <v>6892270.4700000007</v>
      </c>
      <c r="AO26" s="16"/>
      <c r="AP26" s="16"/>
      <c r="AQ26" s="24"/>
      <c r="AR26" s="24"/>
    </row>
    <row r="27" spans="1:47" ht="16.899999999999999" customHeight="1" x14ac:dyDescent="0.25">
      <c r="A27" s="109" t="s">
        <v>10</v>
      </c>
      <c r="B27" s="110"/>
      <c r="C27" s="2"/>
      <c r="D27" s="2"/>
      <c r="E27" s="2">
        <v>50229554.060000002</v>
      </c>
      <c r="F27" s="2">
        <v>49311505.640000001</v>
      </c>
      <c r="G27" s="2">
        <f>54914409.14+4146331.65</f>
        <v>59060740.789999999</v>
      </c>
      <c r="H27" s="2">
        <f>4092516+44233103.62</f>
        <v>48325619.619999997</v>
      </c>
      <c r="I27" s="2">
        <f>4125519+52000853.47</f>
        <v>56126372.469999999</v>
      </c>
      <c r="J27" s="2">
        <f>4092516+48802373.86</f>
        <v>52894889.859999999</v>
      </c>
      <c r="K27" s="2">
        <f>4106722+58655126.14</f>
        <v>62761848.140000001</v>
      </c>
      <c r="L27" s="2">
        <f>4092516+51722209.7</f>
        <v>55814725.700000003</v>
      </c>
      <c r="M27" s="2">
        <f>3726327.65+62112387.9</f>
        <v>65838715.549999997</v>
      </c>
      <c r="N27" s="2">
        <f>51679075.14+3711331.65</f>
        <v>55390406.789999999</v>
      </c>
      <c r="O27" s="2">
        <f>3292052+59912517.14</f>
        <v>63204569.140000001</v>
      </c>
      <c r="P27" s="2">
        <f>3292052+59912517.14</f>
        <v>63204569.140000001</v>
      </c>
      <c r="Q27" s="2">
        <f>59493077.9+3296661.65</f>
        <v>62789739.549999997</v>
      </c>
      <c r="R27" s="2">
        <f>3296661.65+52221949.14</f>
        <v>55518610.789999999</v>
      </c>
      <c r="S27" s="2">
        <f>58887656.94+3311445.65</f>
        <v>62199102.589999996</v>
      </c>
      <c r="T27" s="2">
        <f>3296661.65+52221949.14</f>
        <v>55518610.789999999</v>
      </c>
      <c r="U27" s="2">
        <f>56222191.94+3311445.65</f>
        <v>59533637.589999996</v>
      </c>
      <c r="V27" s="2">
        <f>3311445.65+56222191.94</f>
        <v>59533637.589999996</v>
      </c>
      <c r="W27" s="2">
        <f>1281078.35+54292200.96</f>
        <v>55573279.310000002</v>
      </c>
      <c r="X27" s="2">
        <f>54292200.96+1281078.35</f>
        <v>55573279.310000002</v>
      </c>
      <c r="Y27" s="2">
        <v>55305512.479999997</v>
      </c>
      <c r="Z27" s="2">
        <v>55305512.479999997</v>
      </c>
      <c r="AA27" s="16">
        <v>12430432.640000001</v>
      </c>
      <c r="AB27" s="16">
        <v>12430432.640000001</v>
      </c>
      <c r="AC27" s="16">
        <v>19001954.52</v>
      </c>
      <c r="AD27" s="16">
        <v>19001954.52</v>
      </c>
      <c r="AE27" s="23">
        <f>8958+7347927.08</f>
        <v>7356885.0800000001</v>
      </c>
      <c r="AF27" s="13"/>
      <c r="AG27" s="23">
        <f>8958+6907494.08</f>
        <v>6916452.0800000001</v>
      </c>
      <c r="AH27" s="13"/>
      <c r="AI27" s="16">
        <f>2101880.84+3050643.64</f>
        <v>5152524.4800000004</v>
      </c>
      <c r="AJ27" s="16"/>
      <c r="AK27" s="16">
        <f>2101856.09+3050642.64</f>
        <v>5152498.7300000004</v>
      </c>
      <c r="AL27" s="16"/>
      <c r="AM27" s="16">
        <f>2470785.09+1439205.95</f>
        <v>3909991.04</v>
      </c>
      <c r="AN27" s="16"/>
      <c r="AO27" s="16">
        <f>2101856.09+1439205.95</f>
        <v>3541062.04</v>
      </c>
      <c r="AP27" s="16"/>
      <c r="AQ27" s="24" t="s">
        <v>42</v>
      </c>
      <c r="AR27" s="24"/>
    </row>
    <row r="28" spans="1:47" ht="31.5" customHeight="1" x14ac:dyDescent="0.25">
      <c r="A28" s="109" t="s">
        <v>16</v>
      </c>
      <c r="B28" s="1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30781549.66</v>
      </c>
      <c r="Z28" s="2">
        <v>30779212.829999998</v>
      </c>
      <c r="AA28" s="16">
        <f>3305399.51+525.46</f>
        <v>3305924.9699999997</v>
      </c>
      <c r="AB28" s="16">
        <v>1468652.52</v>
      </c>
      <c r="AC28" s="16">
        <f>37418429.35+92913.85</f>
        <v>37511343.200000003</v>
      </c>
      <c r="AD28" s="16">
        <v>35708297.810000002</v>
      </c>
      <c r="AE28" s="23">
        <f>27144292.69+67092.49</f>
        <v>27211385.18</v>
      </c>
      <c r="AF28" s="13"/>
      <c r="AG28" s="23">
        <v>25563940.289999999</v>
      </c>
      <c r="AH28" s="13"/>
      <c r="AI28" s="16">
        <f>5363159.41+45867.6+4665</f>
        <v>5413692.0099999998</v>
      </c>
      <c r="AJ28" s="16">
        <f>45867.6+2181170.99</f>
        <v>2227038.5900000003</v>
      </c>
      <c r="AK28" s="16">
        <v>3181988.42</v>
      </c>
      <c r="AL28" s="16"/>
      <c r="AM28" s="16">
        <f>1544533.6+4665</f>
        <v>1549198.6</v>
      </c>
      <c r="AN28" s="16">
        <v>1544533.6</v>
      </c>
      <c r="AO28" s="16"/>
      <c r="AP28" s="16"/>
      <c r="AQ28" s="24"/>
      <c r="AR28" s="24"/>
    </row>
    <row r="29" spans="1:47" x14ac:dyDescent="0.25">
      <c r="A29" s="111" t="s">
        <v>3</v>
      </c>
      <c r="B29" s="112"/>
      <c r="C29" s="115">
        <v>-7680.14</v>
      </c>
      <c r="D29" s="115">
        <f>SUM(D31:D35)</f>
        <v>0</v>
      </c>
      <c r="E29" s="115">
        <f t="shared" ref="E29:AD29" si="5">SUM(E31:E35)</f>
        <v>0</v>
      </c>
      <c r="F29" s="115">
        <f t="shared" si="5"/>
        <v>0</v>
      </c>
      <c r="G29" s="115">
        <f t="shared" si="5"/>
        <v>114426.95</v>
      </c>
      <c r="H29" s="115">
        <f t="shared" si="5"/>
        <v>0</v>
      </c>
      <c r="I29" s="115">
        <f t="shared" si="5"/>
        <v>88290.77</v>
      </c>
      <c r="J29" s="115">
        <f t="shared" si="5"/>
        <v>0</v>
      </c>
      <c r="K29" s="115">
        <f t="shared" si="5"/>
        <v>51440.42</v>
      </c>
      <c r="L29" s="115">
        <f t="shared" si="5"/>
        <v>0</v>
      </c>
      <c r="M29" s="115">
        <f t="shared" si="5"/>
        <v>169857.58</v>
      </c>
      <c r="N29" s="115">
        <f t="shared" si="5"/>
        <v>0</v>
      </c>
      <c r="O29" s="115">
        <f t="shared" si="5"/>
        <v>77731.77</v>
      </c>
      <c r="P29" s="115">
        <f t="shared" si="5"/>
        <v>0</v>
      </c>
      <c r="Q29" s="115">
        <f t="shared" si="5"/>
        <v>55035.07</v>
      </c>
      <c r="R29" s="115">
        <f t="shared" si="5"/>
        <v>0</v>
      </c>
      <c r="S29" s="115">
        <f t="shared" si="5"/>
        <v>80513.679999999993</v>
      </c>
      <c r="T29" s="115">
        <f t="shared" si="5"/>
        <v>0</v>
      </c>
      <c r="U29" s="115">
        <f t="shared" si="5"/>
        <v>77945.259999999995</v>
      </c>
      <c r="V29" s="115">
        <f t="shared" si="5"/>
        <v>0</v>
      </c>
      <c r="W29" s="115">
        <f t="shared" si="5"/>
        <v>84064.9</v>
      </c>
      <c r="X29" s="115">
        <f t="shared" si="5"/>
        <v>0</v>
      </c>
      <c r="Y29" s="115">
        <f t="shared" si="5"/>
        <v>0</v>
      </c>
      <c r="Z29" s="115">
        <f t="shared" si="5"/>
        <v>0</v>
      </c>
      <c r="AA29" s="128">
        <f t="shared" si="5"/>
        <v>663721.94999999995</v>
      </c>
      <c r="AB29" s="128">
        <f t="shared" si="5"/>
        <v>0</v>
      </c>
      <c r="AC29" s="128">
        <f t="shared" si="5"/>
        <v>856387.40999999992</v>
      </c>
      <c r="AD29" s="128">
        <f t="shared" si="5"/>
        <v>0</v>
      </c>
      <c r="AE29" s="126">
        <f t="shared" ref="AE29:AL29" si="6">AE31+AE32+AE33+AE34+AE35</f>
        <v>807619</v>
      </c>
      <c r="AF29" s="126">
        <f t="shared" si="6"/>
        <v>0</v>
      </c>
      <c r="AG29" s="126">
        <f t="shared" si="6"/>
        <v>0</v>
      </c>
      <c r="AH29" s="126">
        <f t="shared" si="6"/>
        <v>0</v>
      </c>
      <c r="AI29" s="122">
        <f t="shared" si="6"/>
        <v>1745805.9500000002</v>
      </c>
      <c r="AJ29" s="122">
        <f t="shared" si="6"/>
        <v>0</v>
      </c>
      <c r="AK29" s="122">
        <v>0</v>
      </c>
      <c r="AL29" s="122">
        <f t="shared" si="6"/>
        <v>0</v>
      </c>
      <c r="AM29" s="122">
        <f>AM31+AM32+AM33+AM34+AM35</f>
        <v>1026858.6300000001</v>
      </c>
      <c r="AN29" s="122">
        <f>AN31+AN32+AN33+AN34+AN35</f>
        <v>0</v>
      </c>
      <c r="AO29" s="122">
        <f>AO31+AO32+AO33+AO34+AO35</f>
        <v>0</v>
      </c>
      <c r="AP29" s="122">
        <f>AP31+AP32+AP33+AP34+AP35</f>
        <v>0</v>
      </c>
      <c r="AQ29" s="116">
        <f>AM29/AI29-1</f>
        <v>-0.41181399341662228</v>
      </c>
      <c r="AR29" s="116" t="e">
        <f>AO29/AK29-1</f>
        <v>#DIV/0!</v>
      </c>
    </row>
    <row r="30" spans="1:47" x14ac:dyDescent="0.25">
      <c r="A30" s="113"/>
      <c r="B30" s="11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5"/>
      <c r="AB30" s="125"/>
      <c r="AC30" s="125"/>
      <c r="AD30" s="125"/>
      <c r="AE30" s="127"/>
      <c r="AF30" s="127"/>
      <c r="AG30" s="127"/>
      <c r="AH30" s="127"/>
      <c r="AI30" s="123"/>
      <c r="AJ30" s="123"/>
      <c r="AK30" s="123"/>
      <c r="AL30" s="123"/>
      <c r="AM30" s="123"/>
      <c r="AN30" s="123"/>
      <c r="AO30" s="123"/>
      <c r="AP30" s="123"/>
      <c r="AQ30" s="117"/>
      <c r="AR30" s="117"/>
    </row>
    <row r="31" spans="1:47" ht="43.5" customHeight="1" x14ac:dyDescent="0.25">
      <c r="A31" s="109" t="s">
        <v>11</v>
      </c>
      <c r="B31" s="110"/>
      <c r="C31" s="2">
        <v>0</v>
      </c>
      <c r="D31" s="2"/>
      <c r="E31" s="2">
        <v>0</v>
      </c>
      <c r="F31" s="2"/>
      <c r="G31" s="2">
        <v>114426.95</v>
      </c>
      <c r="H31" s="2"/>
      <c r="I31" s="2">
        <v>88290.77</v>
      </c>
      <c r="J31" s="2"/>
      <c r="K31" s="2">
        <v>51440.42</v>
      </c>
      <c r="L31" s="2"/>
      <c r="M31" s="2">
        <v>169857.58</v>
      </c>
      <c r="N31" s="2"/>
      <c r="O31" s="2">
        <v>77731.77</v>
      </c>
      <c r="P31" s="2"/>
      <c r="Q31" s="2">
        <v>55035.07</v>
      </c>
      <c r="R31" s="2"/>
      <c r="S31" s="2">
        <v>80513.679999999993</v>
      </c>
      <c r="T31" s="2"/>
      <c r="U31" s="2">
        <v>77945.259999999995</v>
      </c>
      <c r="V31" s="2"/>
      <c r="W31" s="2">
        <v>84064.9</v>
      </c>
      <c r="X31" s="2"/>
      <c r="Y31" s="2"/>
      <c r="Z31" s="2"/>
      <c r="AA31" s="16">
        <v>4839.6099999999997</v>
      </c>
      <c r="AB31" s="16"/>
      <c r="AC31" s="16">
        <v>85242.16</v>
      </c>
      <c r="AD31" s="13"/>
      <c r="AE31" s="23">
        <v>172973.85</v>
      </c>
      <c r="AF31" s="23"/>
      <c r="AG31" s="23"/>
      <c r="AH31" s="23"/>
      <c r="AI31" s="16">
        <f>72200.43+5275.44</f>
        <v>77475.87</v>
      </c>
      <c r="AJ31" s="16"/>
      <c r="AK31" s="16"/>
      <c r="AL31" s="16"/>
      <c r="AM31" s="16">
        <f>92658.89+8667.02</f>
        <v>101325.91</v>
      </c>
      <c r="AN31" s="16"/>
      <c r="AO31" s="16"/>
      <c r="AP31" s="16"/>
      <c r="AQ31" s="24"/>
      <c r="AR31" s="24"/>
    </row>
    <row r="32" spans="1:47" ht="18.600000000000001" customHeight="1" x14ac:dyDescent="0.25">
      <c r="A32" s="109" t="s">
        <v>8</v>
      </c>
      <c r="B32" s="1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>
        <v>446550.73</v>
      </c>
      <c r="AB32" s="16"/>
      <c r="AC32" s="16">
        <v>451706.16</v>
      </c>
      <c r="AD32" s="13"/>
      <c r="AE32" s="23">
        <v>291019.77</v>
      </c>
      <c r="AF32" s="23"/>
      <c r="AG32" s="23"/>
      <c r="AH32" s="23"/>
      <c r="AI32" s="16">
        <f>696234.36+399212.22</f>
        <v>1095446.58</v>
      </c>
      <c r="AJ32" s="16"/>
      <c r="AK32" s="16"/>
      <c r="AL32" s="16"/>
      <c r="AM32" s="16">
        <f>314911.75+264840</f>
        <v>579751.75</v>
      </c>
      <c r="AN32" s="16"/>
      <c r="AO32" s="16"/>
      <c r="AP32" s="16"/>
      <c r="AQ32" s="24"/>
      <c r="AR32" s="24"/>
    </row>
    <row r="33" spans="1:44" ht="45.75" customHeight="1" x14ac:dyDescent="0.25">
      <c r="A33" s="109" t="s">
        <v>9</v>
      </c>
      <c r="B33" s="110"/>
      <c r="C33" s="2">
        <v>0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23"/>
      <c r="AC33" s="16"/>
      <c r="AD33" s="13"/>
      <c r="AE33" s="23"/>
      <c r="AF33" s="23"/>
      <c r="AG33" s="23"/>
      <c r="AH33" s="23"/>
      <c r="AI33" s="16"/>
      <c r="AJ33" s="16"/>
      <c r="AK33" s="16"/>
      <c r="AL33" s="16"/>
      <c r="AM33" s="16"/>
      <c r="AN33" s="16"/>
      <c r="AO33" s="16"/>
      <c r="AP33" s="16"/>
      <c r="AQ33" s="24"/>
      <c r="AR33" s="24"/>
    </row>
    <row r="34" spans="1:44" x14ac:dyDescent="0.25">
      <c r="A34" s="109" t="s">
        <v>10</v>
      </c>
      <c r="B34" s="1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>
        <v>212331.61</v>
      </c>
      <c r="AB34" s="16"/>
      <c r="AC34" s="16">
        <v>319439.09000000003</v>
      </c>
      <c r="AD34" s="13"/>
      <c r="AE34" s="23">
        <v>343625.38</v>
      </c>
      <c r="AF34" s="23"/>
      <c r="AG34" s="23"/>
      <c r="AH34" s="23"/>
      <c r="AI34" s="16">
        <f>340695.57+232187.93</f>
        <v>572883.5</v>
      </c>
      <c r="AJ34" s="16"/>
      <c r="AK34" s="16"/>
      <c r="AL34" s="16"/>
      <c r="AM34" s="16">
        <f>220254.67+125526.3</f>
        <v>345780.97000000003</v>
      </c>
      <c r="AN34" s="16"/>
      <c r="AO34" s="16"/>
      <c r="AP34" s="16"/>
      <c r="AQ34" s="24"/>
      <c r="AR34" s="24"/>
    </row>
    <row r="35" spans="1:44" ht="31.5" customHeight="1" x14ac:dyDescent="0.25">
      <c r="A35" s="109" t="s">
        <v>16</v>
      </c>
      <c r="B35" s="1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/>
      <c r="AB35" s="13"/>
      <c r="AC35" s="13"/>
      <c r="AD35" s="13"/>
      <c r="AE35" s="13"/>
      <c r="AF35" s="13"/>
      <c r="AG35" s="13"/>
      <c r="AH35" s="13"/>
      <c r="AI35" s="16"/>
      <c r="AJ35" s="16"/>
      <c r="AK35" s="16"/>
      <c r="AL35" s="16"/>
      <c r="AM35" s="16"/>
      <c r="AN35" s="16"/>
      <c r="AO35" s="16"/>
      <c r="AP35" s="16"/>
      <c r="AQ35" s="24"/>
      <c r="AR35" s="24"/>
    </row>
    <row r="36" spans="1:44" x14ac:dyDescent="0.25">
      <c r="A36" s="111" t="s">
        <v>19</v>
      </c>
      <c r="B36" s="112"/>
      <c r="C36" s="115">
        <v>24738.76</v>
      </c>
      <c r="D36" s="115">
        <f t="shared" ref="D36:Z36" si="7">SUM(D38:D42)</f>
        <v>0</v>
      </c>
      <c r="E36" s="115">
        <f t="shared" si="7"/>
        <v>162585.41</v>
      </c>
      <c r="F36" s="115">
        <f t="shared" si="7"/>
        <v>0</v>
      </c>
      <c r="G36" s="115">
        <f t="shared" si="7"/>
        <v>2836261.8599999994</v>
      </c>
      <c r="H36" s="115">
        <f t="shared" si="7"/>
        <v>179639.45</v>
      </c>
      <c r="I36" s="115">
        <f t="shared" si="7"/>
        <v>2968161.5</v>
      </c>
      <c r="J36" s="115">
        <f t="shared" si="7"/>
        <v>179639.45</v>
      </c>
      <c r="K36" s="115">
        <f t="shared" si="7"/>
        <v>3579888.6599999997</v>
      </c>
      <c r="L36" s="115">
        <f t="shared" si="7"/>
        <v>179639.45</v>
      </c>
      <c r="M36" s="115">
        <f t="shared" si="7"/>
        <v>2288254.44</v>
      </c>
      <c r="N36" s="115">
        <f t="shared" si="7"/>
        <v>179639.45</v>
      </c>
      <c r="O36" s="115">
        <f t="shared" si="7"/>
        <v>2699902.61</v>
      </c>
      <c r="P36" s="115">
        <f t="shared" si="7"/>
        <v>179639.45</v>
      </c>
      <c r="Q36" s="115">
        <f t="shared" si="7"/>
        <v>2782603.59</v>
      </c>
      <c r="R36" s="115">
        <f t="shared" si="7"/>
        <v>179639.45</v>
      </c>
      <c r="S36" s="115">
        <f t="shared" si="7"/>
        <v>2615855.7999999998</v>
      </c>
      <c r="T36" s="115">
        <f t="shared" si="7"/>
        <v>179639.45</v>
      </c>
      <c r="U36" s="115">
        <f t="shared" si="7"/>
        <v>2483055.5499999998</v>
      </c>
      <c r="V36" s="115">
        <f t="shared" si="7"/>
        <v>142806.04</v>
      </c>
      <c r="W36" s="115">
        <f t="shared" si="7"/>
        <v>2680559.16</v>
      </c>
      <c r="X36" s="115">
        <f t="shared" si="7"/>
        <v>142806.04</v>
      </c>
      <c r="Y36" s="115">
        <f t="shared" si="7"/>
        <v>79878.12999999999</v>
      </c>
      <c r="Z36" s="115">
        <f t="shared" si="7"/>
        <v>0</v>
      </c>
      <c r="AA36" s="128">
        <f>SUM(AA38:AA42)</f>
        <v>2592606.9299999997</v>
      </c>
      <c r="AB36" s="128">
        <f>SUM(AB38:AB42)</f>
        <v>0</v>
      </c>
      <c r="AC36" s="128">
        <f>SUM(AC38:AC42)</f>
        <v>4410926.9800000004</v>
      </c>
      <c r="AD36" s="128">
        <f>SUM(AD38:AD42)</f>
        <v>1508980.59</v>
      </c>
      <c r="AE36" s="126">
        <f t="shared" ref="AE36:AJ36" si="8">AE38+AE39+AE40+AE41+AE42</f>
        <v>6043790.8399999999</v>
      </c>
      <c r="AF36" s="126">
        <f t="shared" si="8"/>
        <v>5996669.2400000002</v>
      </c>
      <c r="AG36" s="126">
        <f t="shared" si="8"/>
        <v>1880593.8800000001</v>
      </c>
      <c r="AH36" s="126">
        <f t="shared" si="8"/>
        <v>1880593.88</v>
      </c>
      <c r="AI36" s="122">
        <f t="shared" si="8"/>
        <v>4401686.4800000004</v>
      </c>
      <c r="AJ36" s="122">
        <f t="shared" si="8"/>
        <v>4300435.1999999993</v>
      </c>
      <c r="AK36" s="122">
        <v>0</v>
      </c>
      <c r="AL36" s="122">
        <v>0</v>
      </c>
      <c r="AM36" s="122">
        <f>AM38+AM39+AM40+AM41+AM42</f>
        <v>6895004.8200000003</v>
      </c>
      <c r="AN36" s="122">
        <f>AN38+AN39+AN40+AN41+AN42</f>
        <v>6810193.3900000006</v>
      </c>
      <c r="AO36" s="122">
        <f>AO38+AO39+AO40+AO41+AO42</f>
        <v>0</v>
      </c>
      <c r="AP36" s="122">
        <f>AP38+AP39+AP40+AP41+AP42</f>
        <v>0</v>
      </c>
      <c r="AQ36" s="116">
        <f>AM36/AI36-1</f>
        <v>0.56644614543287508</v>
      </c>
      <c r="AR36" s="116" t="e">
        <f>AO36/AK36-1</f>
        <v>#DIV/0!</v>
      </c>
    </row>
    <row r="37" spans="1:44" x14ac:dyDescent="0.25">
      <c r="A37" s="113"/>
      <c r="B37" s="11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5"/>
      <c r="AB37" s="125"/>
      <c r="AC37" s="125"/>
      <c r="AD37" s="125"/>
      <c r="AE37" s="127"/>
      <c r="AF37" s="127"/>
      <c r="AG37" s="127"/>
      <c r="AH37" s="127"/>
      <c r="AI37" s="123"/>
      <c r="AJ37" s="123"/>
      <c r="AK37" s="123"/>
      <c r="AL37" s="123"/>
      <c r="AM37" s="123"/>
      <c r="AN37" s="123"/>
      <c r="AO37" s="123"/>
      <c r="AP37" s="123"/>
      <c r="AQ37" s="117"/>
      <c r="AR37" s="117"/>
    </row>
    <row r="38" spans="1:44" ht="44.25" customHeight="1" x14ac:dyDescent="0.25">
      <c r="A38" s="109" t="s">
        <v>11</v>
      </c>
      <c r="B38" s="110"/>
      <c r="C38" s="2"/>
      <c r="D38" s="2"/>
      <c r="E38" s="2">
        <v>162585.41</v>
      </c>
      <c r="F38" s="2"/>
      <c r="G38" s="2">
        <f>410855.69+138863.03</f>
        <v>549718.72</v>
      </c>
      <c r="H38" s="2">
        <v>179639.45</v>
      </c>
      <c r="I38" s="2">
        <f>349786.74+482870.23</f>
        <v>832656.97</v>
      </c>
      <c r="J38" s="2">
        <v>179639.45</v>
      </c>
      <c r="K38" s="2">
        <f>325550.4+256894.84</f>
        <v>582445.24</v>
      </c>
      <c r="L38" s="2">
        <v>179639.45</v>
      </c>
      <c r="M38" s="2">
        <f>32098.35+367708.31</f>
        <v>399806.66</v>
      </c>
      <c r="N38" s="2">
        <v>179639.45</v>
      </c>
      <c r="O38" s="2">
        <f>19053.66+339996.73</f>
        <v>359050.38999999996</v>
      </c>
      <c r="P38" s="2">
        <v>179639.45</v>
      </c>
      <c r="Q38" s="2">
        <f>214101.64+184501.39</f>
        <v>398603.03</v>
      </c>
      <c r="R38" s="2">
        <v>179639.45</v>
      </c>
      <c r="S38" s="2">
        <f>293392.92+82646.26</f>
        <v>376039.18</v>
      </c>
      <c r="T38" s="2">
        <v>179639.45</v>
      </c>
      <c r="U38" s="2">
        <f>18347.3+293392.92</f>
        <v>311740.21999999997</v>
      </c>
      <c r="V38" s="2">
        <f>142806.04</f>
        <v>142806.04</v>
      </c>
      <c r="W38" s="2">
        <f>175124.05+248350.04</f>
        <v>423474.08999999997</v>
      </c>
      <c r="X38" s="2">
        <v>142806.04</v>
      </c>
      <c r="Y38" s="2">
        <v>99147.76</v>
      </c>
      <c r="Z38" s="2"/>
      <c r="AA38" s="16">
        <f>23731.53+27555.65</f>
        <v>51287.18</v>
      </c>
      <c r="AB38" s="16"/>
      <c r="AC38" s="16">
        <f>36698.81+43106.43</f>
        <v>79805.239999999991</v>
      </c>
      <c r="AD38" s="16"/>
      <c r="AE38" s="23">
        <f>AF38+16412.78</f>
        <v>238760.13999999998</v>
      </c>
      <c r="AF38" s="23">
        <f>104792.76+117554.6</f>
        <v>222347.36</v>
      </c>
      <c r="AG38" s="13"/>
      <c r="AH38" s="23"/>
      <c r="AI38" s="16">
        <f>54159.74+22819.27+80774.94</f>
        <v>157753.95000000001</v>
      </c>
      <c r="AJ38" s="29">
        <f>54159.74+22819.27</f>
        <v>76979.009999999995</v>
      </c>
      <c r="AK38" s="16"/>
      <c r="AL38" s="16"/>
      <c r="AM38" s="16">
        <f>104864.49+303409.51+55642.08</f>
        <v>463916.08</v>
      </c>
      <c r="AN38" s="16">
        <f>104864.49+303409.51</f>
        <v>408274</v>
      </c>
      <c r="AO38" s="16"/>
      <c r="AP38" s="16"/>
      <c r="AQ38" s="24"/>
      <c r="AR38" s="24"/>
    </row>
    <row r="39" spans="1:44" x14ac:dyDescent="0.25">
      <c r="A39" s="109" t="s">
        <v>8</v>
      </c>
      <c r="B39" s="110"/>
      <c r="C39" s="2"/>
      <c r="D39" s="2"/>
      <c r="E39" s="2"/>
      <c r="F39" s="2"/>
      <c r="G39" s="2">
        <f>1280106.96+331142.71</f>
        <v>1611249.67</v>
      </c>
      <c r="H39" s="2"/>
      <c r="I39" s="2">
        <f>1112706.33+292125.54</f>
        <v>1404831.87</v>
      </c>
      <c r="J39" s="2"/>
      <c r="K39" s="2">
        <f>1664826.89+424726.47</f>
        <v>2089553.3599999999</v>
      </c>
      <c r="L39" s="2"/>
      <c r="M39" s="2">
        <v>1291836.76</v>
      </c>
      <c r="N39" s="2"/>
      <c r="O39" s="2">
        <f>336869.12+1006180.12</f>
        <v>1343049.24</v>
      </c>
      <c r="P39" s="2"/>
      <c r="Q39" s="2">
        <f>290310.2+1054801</f>
        <v>1345111.2</v>
      </c>
      <c r="R39" s="2"/>
      <c r="S39" s="2">
        <f>210412.6+1031728.18</f>
        <v>1242140.78</v>
      </c>
      <c r="T39" s="2"/>
      <c r="U39" s="2">
        <f>144677.62+1051908.03</f>
        <v>1196585.6499999999</v>
      </c>
      <c r="V39" s="2"/>
      <c r="W39" s="2">
        <f>257630.31+1025805.39</f>
        <v>1283435.7</v>
      </c>
      <c r="X39" s="2"/>
      <c r="Y39" s="2"/>
      <c r="Z39" s="2"/>
      <c r="AA39" s="16">
        <f>367554.1+1092399.95</f>
        <v>1459954.0499999998</v>
      </c>
      <c r="AB39" s="16"/>
      <c r="AC39" s="16">
        <f>413160.07+976030.95</f>
        <v>1389191.02</v>
      </c>
      <c r="AD39" s="16"/>
      <c r="AE39" s="23">
        <f>AF39+20410</f>
        <v>1483828.69</v>
      </c>
      <c r="AF39" s="23">
        <f>399447.7+1063970.99</f>
        <v>1463418.69</v>
      </c>
      <c r="AG39" s="13"/>
      <c r="AH39" s="23"/>
      <c r="AI39" s="16">
        <f>399497.7+11131.38+1854102.36</f>
        <v>2264731.44</v>
      </c>
      <c r="AJ39" s="16">
        <f>399497.7+1854102.36</f>
        <v>2253600.06</v>
      </c>
      <c r="AK39" s="16"/>
      <c r="AL39" s="16"/>
      <c r="AM39" s="16">
        <f>443931.27+16785+3671822.32</f>
        <v>4132538.59</v>
      </c>
      <c r="AN39" s="16">
        <f>443931.27+3671822.32</f>
        <v>4115753.59</v>
      </c>
      <c r="AO39" s="16"/>
      <c r="AP39" s="16"/>
      <c r="AQ39" s="24"/>
      <c r="AR39" s="24"/>
    </row>
    <row r="40" spans="1:44" ht="45" customHeight="1" x14ac:dyDescent="0.25">
      <c r="A40" s="109" t="s">
        <v>9</v>
      </c>
      <c r="B40" s="110"/>
      <c r="C40" s="2"/>
      <c r="D40" s="2"/>
      <c r="E40" s="2"/>
      <c r="F40" s="2"/>
      <c r="G40" s="2">
        <f>191330.96+483962.51</f>
        <v>675293.47</v>
      </c>
      <c r="H40" s="2"/>
      <c r="I40" s="2">
        <f>171605.74+559066.92</f>
        <v>730672.66</v>
      </c>
      <c r="J40" s="2"/>
      <c r="K40" s="2">
        <f>209944.24+697945.82</f>
        <v>907890.05999999994</v>
      </c>
      <c r="L40" s="2"/>
      <c r="M40" s="2">
        <v>596611.02</v>
      </c>
      <c r="N40" s="2"/>
      <c r="O40" s="2">
        <f>198862.88+580042.1</f>
        <v>778904.98</v>
      </c>
      <c r="P40" s="2"/>
      <c r="Q40" s="2">
        <f>612669.18+219338.18</f>
        <v>832007.3600000001</v>
      </c>
      <c r="R40" s="2"/>
      <c r="S40" s="2">
        <f>201317.46+630998.38</f>
        <v>832315.84</v>
      </c>
      <c r="T40" s="2"/>
      <c r="U40" s="2">
        <f>184341.93+601701.1</f>
        <v>786043.03</v>
      </c>
      <c r="V40" s="2"/>
      <c r="W40" s="2">
        <f>177715.19+604861.18</f>
        <v>782576.37000000011</v>
      </c>
      <c r="X40" s="2"/>
      <c r="Y40" s="2">
        <v>-9193.7999999999993</v>
      </c>
      <c r="Z40" s="2"/>
      <c r="AA40" s="16">
        <f>254861.86+627161.14</f>
        <v>882023</v>
      </c>
      <c r="AB40" s="16"/>
      <c r="AC40" s="16">
        <f>363441.69+1320113.41</f>
        <v>1683555.0999999999</v>
      </c>
      <c r="AD40" s="16">
        <f>20923.56+643955.03</f>
        <v>664878.59000000008</v>
      </c>
      <c r="AE40" s="23">
        <f>AF40+9183.82</f>
        <v>2863942.15</v>
      </c>
      <c r="AF40" s="23">
        <f>469042.19+2385716.14</f>
        <v>2854758.33</v>
      </c>
      <c r="AG40" s="23">
        <v>1220473.1200000001</v>
      </c>
      <c r="AH40" s="23">
        <f>147655.46+1072817.66</f>
        <v>1220473.1199999999</v>
      </c>
      <c r="AI40" s="16">
        <f>283794.68+8867.96+960334.11</f>
        <v>1252996.75</v>
      </c>
      <c r="AJ40" s="16">
        <f>283794.68+960334.11</f>
        <v>1244128.79</v>
      </c>
      <c r="AK40" s="16"/>
      <c r="AL40" s="16"/>
      <c r="AM40" s="16">
        <f>320379.19+12384.35+1347555.88</f>
        <v>1680319.42</v>
      </c>
      <c r="AN40" s="16">
        <f>320379.19+1347555.88</f>
        <v>1667935.0699999998</v>
      </c>
      <c r="AO40" s="16"/>
      <c r="AP40" s="16"/>
      <c r="AQ40" s="24"/>
      <c r="AR40" s="24"/>
    </row>
    <row r="41" spans="1:44" x14ac:dyDescent="0.25">
      <c r="A41" s="109" t="s">
        <v>10</v>
      </c>
      <c r="B41" s="1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218898</f>
        <v>218898</v>
      </c>
      <c r="P41" s="2"/>
      <c r="Q41" s="2">
        <v>206882</v>
      </c>
      <c r="R41" s="2"/>
      <c r="S41" s="2">
        <v>165360</v>
      </c>
      <c r="T41" s="2"/>
      <c r="U41" s="2">
        <v>188686.65</v>
      </c>
      <c r="V41" s="2"/>
      <c r="W41" s="2">
        <f>191073</f>
        <v>191073</v>
      </c>
      <c r="X41" s="2"/>
      <c r="Y41" s="2">
        <v>-12759</v>
      </c>
      <c r="Z41" s="2"/>
      <c r="AA41" s="16"/>
      <c r="AB41" s="16"/>
      <c r="AC41" s="16"/>
      <c r="AD41" s="16"/>
      <c r="AE41" s="23">
        <f>AF41+1115</f>
        <v>94671.360000000001</v>
      </c>
      <c r="AF41" s="23">
        <v>93556.36</v>
      </c>
      <c r="AG41" s="23"/>
      <c r="AH41" s="23"/>
      <c r="AI41" s="16">
        <f>92285.57+477</f>
        <v>92762.57</v>
      </c>
      <c r="AJ41" s="16">
        <v>92285.57</v>
      </c>
      <c r="AK41" s="16"/>
      <c r="AL41" s="16"/>
      <c r="AM41" s="16"/>
      <c r="AN41" s="16"/>
      <c r="AO41" s="16"/>
      <c r="AP41" s="16"/>
      <c r="AQ41" s="24"/>
      <c r="AR41" s="24"/>
    </row>
    <row r="42" spans="1:44" ht="27.75" customHeight="1" x14ac:dyDescent="0.25">
      <c r="A42" s="109" t="s">
        <v>16</v>
      </c>
      <c r="B42" s="1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2683.17</v>
      </c>
      <c r="Z42" s="2"/>
      <c r="AA42" s="16">
        <v>199342.7</v>
      </c>
      <c r="AB42" s="16"/>
      <c r="AC42" s="16">
        <f>1258375.62</f>
        <v>1258375.6200000001</v>
      </c>
      <c r="AD42" s="16">
        <v>844102</v>
      </c>
      <c r="AE42" s="23">
        <f>AF42</f>
        <v>1362588.5</v>
      </c>
      <c r="AF42" s="23">
        <v>1362588.5</v>
      </c>
      <c r="AG42" s="23">
        <v>660120.76</v>
      </c>
      <c r="AH42" s="23">
        <v>660120.76</v>
      </c>
      <c r="AI42" s="16">
        <f>633441.77</f>
        <v>633441.77</v>
      </c>
      <c r="AJ42" s="16">
        <v>633441.77</v>
      </c>
      <c r="AK42" s="16"/>
      <c r="AL42" s="16"/>
      <c r="AM42" s="16">
        <v>618230.73</v>
      </c>
      <c r="AN42" s="16">
        <v>618230.73</v>
      </c>
      <c r="AO42" s="16"/>
      <c r="AP42" s="16"/>
      <c r="AQ42" s="24"/>
      <c r="AR42" s="24"/>
    </row>
    <row r="43" spans="1:44" x14ac:dyDescent="0.25">
      <c r="A43" s="111" t="s">
        <v>17</v>
      </c>
      <c r="B43" s="112"/>
      <c r="C43" s="115">
        <v>10765845.27</v>
      </c>
      <c r="D43" s="115">
        <v>7171240.7400000002</v>
      </c>
      <c r="E43" s="115">
        <f>SUM(E45:E49)</f>
        <v>13066265.32</v>
      </c>
      <c r="F43" s="115">
        <f>SUM(F45:F49)</f>
        <v>9363054.25</v>
      </c>
      <c r="G43" s="115">
        <f t="shared" ref="G43:AC43" si="9">SUM(G45:G49)</f>
        <v>12452961.670000002</v>
      </c>
      <c r="H43" s="115">
        <f t="shared" si="9"/>
        <v>10697359.270000001</v>
      </c>
      <c r="I43" s="115">
        <f t="shared" si="9"/>
        <v>10509503.82</v>
      </c>
      <c r="J43" s="115">
        <f t="shared" si="9"/>
        <v>9311032.910000002</v>
      </c>
      <c r="K43" s="115">
        <f t="shared" si="9"/>
        <v>9816963.7700000014</v>
      </c>
      <c r="L43" s="115">
        <f t="shared" si="9"/>
        <v>9514146.0000000019</v>
      </c>
      <c r="M43" s="115">
        <f t="shared" si="9"/>
        <v>10491903.119999999</v>
      </c>
      <c r="N43" s="115">
        <f t="shared" si="9"/>
        <v>10223094.629999999</v>
      </c>
      <c r="O43" s="115">
        <f t="shared" si="9"/>
        <v>11041075.82</v>
      </c>
      <c r="P43" s="115">
        <f t="shared" si="9"/>
        <v>9852688.540000001</v>
      </c>
      <c r="Q43" s="115">
        <f t="shared" si="9"/>
        <v>11491967.560000001</v>
      </c>
      <c r="R43" s="115">
        <f t="shared" si="9"/>
        <v>9865070.0600000005</v>
      </c>
      <c r="S43" s="115">
        <f t="shared" si="9"/>
        <v>12060303.5</v>
      </c>
      <c r="T43" s="115">
        <f t="shared" si="9"/>
        <v>10862190.040000001</v>
      </c>
      <c r="U43" s="115">
        <f t="shared" si="9"/>
        <v>11619250.300000001</v>
      </c>
      <c r="V43" s="115">
        <f t="shared" si="9"/>
        <v>9816511.040000001</v>
      </c>
      <c r="W43" s="115">
        <f t="shared" si="9"/>
        <v>11514591.1</v>
      </c>
      <c r="X43" s="115">
        <f t="shared" si="9"/>
        <v>10293165.02</v>
      </c>
      <c r="Y43" s="115">
        <f t="shared" si="9"/>
        <v>14972637.870000001</v>
      </c>
      <c r="Z43" s="115">
        <f t="shared" si="9"/>
        <v>11006589.689999999</v>
      </c>
      <c r="AA43" s="128">
        <f t="shared" si="9"/>
        <v>11434380.700000001</v>
      </c>
      <c r="AB43" s="128">
        <f t="shared" si="9"/>
        <v>1118646.56</v>
      </c>
      <c r="AC43" s="128">
        <f t="shared" si="9"/>
        <v>20378851.969999999</v>
      </c>
      <c r="AD43" s="128">
        <f t="shared" ref="AD43:AK43" si="10">AD45+AD46+AD47+AD48+AD49</f>
        <v>6845671.4899999993</v>
      </c>
      <c r="AE43" s="126">
        <f t="shared" si="10"/>
        <v>21821924</v>
      </c>
      <c r="AF43" s="126">
        <f t="shared" si="10"/>
        <v>1624721</v>
      </c>
      <c r="AG43" s="126">
        <f t="shared" si="10"/>
        <v>8640587.1999999993</v>
      </c>
      <c r="AH43" s="126">
        <f t="shared" si="10"/>
        <v>0</v>
      </c>
      <c r="AI43" s="122">
        <f t="shared" si="10"/>
        <v>16329235.25</v>
      </c>
      <c r="AJ43" s="122">
        <v>0</v>
      </c>
      <c r="AK43" s="122">
        <f t="shared" si="10"/>
        <v>5018242.82</v>
      </c>
      <c r="AL43" s="122">
        <v>0</v>
      </c>
      <c r="AM43" s="122">
        <f>AM45+AM46+AM47+AM48+AM49</f>
        <v>14777094</v>
      </c>
      <c r="AN43" s="122">
        <f>AN45+AN46+AN47+AN48+AN49</f>
        <v>0</v>
      </c>
      <c r="AO43" s="122">
        <f>AO45+AO46+AO47+AO48+AO49</f>
        <v>2700000</v>
      </c>
      <c r="AP43" s="122">
        <f>AP45+AP46+AP47+AP48+AP49</f>
        <v>0</v>
      </c>
      <c r="AQ43" s="116">
        <f>AM43/AI43-1</f>
        <v>-9.5052905187338776E-2</v>
      </c>
      <c r="AR43" s="116">
        <f>AO43/AK43-1</f>
        <v>-0.46196306220192029</v>
      </c>
    </row>
    <row r="44" spans="1:44" x14ac:dyDescent="0.25">
      <c r="A44" s="113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5"/>
      <c r="AB44" s="125"/>
      <c r="AC44" s="125"/>
      <c r="AD44" s="125"/>
      <c r="AE44" s="127"/>
      <c r="AF44" s="127"/>
      <c r="AG44" s="127"/>
      <c r="AH44" s="127"/>
      <c r="AI44" s="123"/>
      <c r="AJ44" s="123"/>
      <c r="AK44" s="123"/>
      <c r="AL44" s="123"/>
      <c r="AM44" s="123"/>
      <c r="AN44" s="123"/>
      <c r="AO44" s="123"/>
      <c r="AP44" s="123"/>
      <c r="AQ44" s="117"/>
      <c r="AR44" s="117"/>
    </row>
    <row r="45" spans="1:44" ht="45" customHeight="1" x14ac:dyDescent="0.25">
      <c r="A45" s="109" t="s">
        <v>11</v>
      </c>
      <c r="B45" s="110"/>
      <c r="C45" s="2"/>
      <c r="D45" s="2"/>
      <c r="E45" s="2">
        <v>1445875.56</v>
      </c>
      <c r="F45" s="2">
        <v>504057.32</v>
      </c>
      <c r="G45" s="2">
        <f>15780.83+1401592.32</f>
        <v>1417373.1500000001</v>
      </c>
      <c r="H45" s="2">
        <f>497307.75</f>
        <v>497307.75</v>
      </c>
      <c r="I45" s="2">
        <f>14359.15+1094634.15</f>
        <v>1108993.2999999998</v>
      </c>
      <c r="J45" s="2">
        <v>581610.39</v>
      </c>
      <c r="K45" s="2">
        <f>45290.3+812014.95</f>
        <v>857305.25</v>
      </c>
      <c r="L45" s="2">
        <v>554487.48</v>
      </c>
      <c r="M45" s="2">
        <f>22392+828113.09</f>
        <v>850505.09</v>
      </c>
      <c r="N45" s="2">
        <f>581696.6</f>
        <v>581696.6</v>
      </c>
      <c r="O45" s="2">
        <f>24207.15+1590490.12</f>
        <v>1614697.27</v>
      </c>
      <c r="P45" s="2">
        <f>484794.48</f>
        <v>484794.48</v>
      </c>
      <c r="Q45" s="2">
        <v>1906086.62</v>
      </c>
      <c r="R45" s="2"/>
      <c r="S45" s="2">
        <f>23600.15+1705289.54</f>
        <v>1728889.69</v>
      </c>
      <c r="T45" s="2">
        <v>530776.23</v>
      </c>
      <c r="U45" s="2">
        <f>2268996.34+30919.15</f>
        <v>2299915.4899999998</v>
      </c>
      <c r="V45" s="2">
        <v>497176.23</v>
      </c>
      <c r="W45" s="2">
        <f>2127960.81+48959.2</f>
        <v>2176920.0100000002</v>
      </c>
      <c r="X45" s="2">
        <v>955493.93</v>
      </c>
      <c r="Y45" s="2">
        <v>2219644.2799999998</v>
      </c>
      <c r="Z45" s="2">
        <f>782752.86</f>
        <v>782752.86</v>
      </c>
      <c r="AA45" s="16">
        <f>25455.33+3676740.99</f>
        <v>3702196.3200000003</v>
      </c>
      <c r="AB45" s="16">
        <v>370926</v>
      </c>
      <c r="AC45" s="16">
        <f>25119.87+10218497.79</f>
        <v>10243617.659999998</v>
      </c>
      <c r="AD45" s="16">
        <v>3812324.48</v>
      </c>
      <c r="AE45" s="23">
        <f>92866+7505896.09</f>
        <v>7598762.0899999999</v>
      </c>
      <c r="AF45" s="23">
        <v>1624721</v>
      </c>
      <c r="AG45" s="23">
        <v>1546341.78</v>
      </c>
      <c r="AH45" s="13"/>
      <c r="AI45" s="16">
        <f>36469.87+5446750.25</f>
        <v>5483220.1200000001</v>
      </c>
      <c r="AJ45" s="33">
        <v>0</v>
      </c>
      <c r="AK45" s="16">
        <v>2700000</v>
      </c>
      <c r="AL45" s="16">
        <v>0</v>
      </c>
      <c r="AM45" s="16">
        <f>7686+6043684</f>
        <v>6051370</v>
      </c>
      <c r="AN45" s="16"/>
      <c r="AO45" s="16">
        <v>2700000</v>
      </c>
      <c r="AP45" s="16"/>
      <c r="AQ45" s="24"/>
      <c r="AR45" s="24"/>
    </row>
    <row r="46" spans="1:44" x14ac:dyDescent="0.25">
      <c r="A46" s="109" t="s">
        <v>8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107414.79</v>
      </c>
      <c r="R46" s="2"/>
      <c r="S46" s="2"/>
      <c r="T46" s="2"/>
      <c r="U46" s="2"/>
      <c r="V46" s="2"/>
      <c r="W46" s="2"/>
      <c r="X46" s="2"/>
      <c r="Y46" s="2"/>
      <c r="Z46" s="2"/>
      <c r="AA46" s="16">
        <f>240366.78+3338386.23</f>
        <v>3578753.01</v>
      </c>
      <c r="AB46" s="16"/>
      <c r="AC46" s="16">
        <f>213303.85+3570475.36</f>
        <v>3783779.21</v>
      </c>
      <c r="AD46" s="16"/>
      <c r="AE46" s="23">
        <f>1048316.56+3892857.12</f>
        <v>4941173.68</v>
      </c>
      <c r="AF46" s="13"/>
      <c r="AG46" s="23"/>
      <c r="AH46" s="13"/>
      <c r="AI46" s="16">
        <f>1013379.37+4504888.09</f>
        <v>5518267.46</v>
      </c>
      <c r="AJ46" s="16"/>
      <c r="AK46" s="16"/>
      <c r="AL46" s="16"/>
      <c r="AM46" s="16">
        <f>1389632+4711116</f>
        <v>6100748</v>
      </c>
      <c r="AN46" s="16"/>
      <c r="AO46" s="16"/>
      <c r="AP46" s="16"/>
      <c r="AQ46" s="24"/>
      <c r="AR46" s="24"/>
    </row>
    <row r="47" spans="1:44" ht="44.25" customHeight="1" x14ac:dyDescent="0.25">
      <c r="A47" s="109" t="s">
        <v>9</v>
      </c>
      <c r="B47" s="110"/>
      <c r="C47" s="2"/>
      <c r="D47" s="2"/>
      <c r="E47" s="2">
        <v>1463841.51</v>
      </c>
      <c r="F47" s="2"/>
      <c r="G47" s="2">
        <v>166700</v>
      </c>
      <c r="H47" s="2"/>
      <c r="I47" s="2"/>
      <c r="J47" s="2"/>
      <c r="K47" s="2"/>
      <c r="L47" s="2"/>
      <c r="M47" s="2"/>
      <c r="N47" s="2"/>
      <c r="O47" s="2">
        <v>27151.16</v>
      </c>
      <c r="P47" s="2"/>
      <c r="Q47" s="2">
        <v>78572.100000000006</v>
      </c>
      <c r="R47" s="2"/>
      <c r="S47" s="2"/>
      <c r="T47" s="2"/>
      <c r="U47" s="2"/>
      <c r="V47" s="2"/>
      <c r="W47" s="2"/>
      <c r="X47" s="2"/>
      <c r="Y47" s="2">
        <v>1439851.12</v>
      </c>
      <c r="Z47" s="2"/>
      <c r="AA47" s="16">
        <f>182858.49+1828141.64</f>
        <v>2011000.13</v>
      </c>
      <c r="AB47" s="16"/>
      <c r="AC47" s="16">
        <f>194574.38+2050743.86</f>
        <v>2245318.2400000002</v>
      </c>
      <c r="AD47" s="16"/>
      <c r="AE47" s="23">
        <f>763510.32+2959710.97+0.85</f>
        <v>3723222.14</v>
      </c>
      <c r="AF47" s="13"/>
      <c r="AG47" s="23">
        <f>317932.16+1222488.09</f>
        <v>1540420.25</v>
      </c>
      <c r="AH47" s="13"/>
      <c r="AI47" s="16">
        <f>840855.82+2166721.03</f>
        <v>3007576.8499999996</v>
      </c>
      <c r="AJ47" s="16"/>
      <c r="AK47" s="16"/>
      <c r="AL47" s="16"/>
      <c r="AM47" s="16">
        <f>553708+2071268</f>
        <v>2624976</v>
      </c>
      <c r="AN47" s="16"/>
      <c r="AO47" s="16"/>
      <c r="AP47" s="16"/>
      <c r="AQ47" s="24"/>
      <c r="AR47" s="24"/>
    </row>
    <row r="48" spans="1:44" x14ac:dyDescent="0.25">
      <c r="A48" s="109" t="s">
        <v>10</v>
      </c>
      <c r="B48" s="110"/>
      <c r="C48" s="2"/>
      <c r="D48" s="2"/>
      <c r="E48" s="2">
        <v>10156548.25</v>
      </c>
      <c r="F48" s="2">
        <v>8858996.9299999997</v>
      </c>
      <c r="G48" s="2">
        <f>317.3+10868571.22</f>
        <v>10868888.520000001</v>
      </c>
      <c r="H48" s="2">
        <f>10199734.22+317.3</f>
        <v>10200051.520000001</v>
      </c>
      <c r="I48" s="2">
        <f>317.3+9400193.22</f>
        <v>9400510.5200000014</v>
      </c>
      <c r="J48" s="2">
        <f>317.3+8729105.22</f>
        <v>8729422.5200000014</v>
      </c>
      <c r="K48" s="2">
        <f>317.3+8959341.22</f>
        <v>8959658.5200000014</v>
      </c>
      <c r="L48" s="2">
        <f>317.3+8959341.22</f>
        <v>8959658.5200000014</v>
      </c>
      <c r="M48" s="2">
        <v>9641398.0299999993</v>
      </c>
      <c r="N48" s="2">
        <v>9641398.0299999993</v>
      </c>
      <c r="O48" s="2">
        <f>9367894.06</f>
        <v>9367894.0600000005</v>
      </c>
      <c r="P48" s="2">
        <f>9367894.06</f>
        <v>9367894.0600000005</v>
      </c>
      <c r="Q48" s="2">
        <f>9367894.06</f>
        <v>9367894.0600000005</v>
      </c>
      <c r="R48" s="2">
        <v>9865070.0600000005</v>
      </c>
      <c r="S48" s="2">
        <v>10331413.810000001</v>
      </c>
      <c r="T48" s="2">
        <v>10331413.810000001</v>
      </c>
      <c r="U48" s="2">
        <v>9319334.8100000005</v>
      </c>
      <c r="V48" s="2">
        <v>9319334.8100000005</v>
      </c>
      <c r="W48" s="2">
        <f>9337671.09</f>
        <v>9337671.0899999999</v>
      </c>
      <c r="X48" s="2">
        <v>9337671.0899999999</v>
      </c>
      <c r="Y48" s="2">
        <v>11178667.26</v>
      </c>
      <c r="Z48" s="2">
        <v>10089361.619999999</v>
      </c>
      <c r="AA48" s="16">
        <f>41557.97+1353152.71</f>
        <v>1394710.68</v>
      </c>
      <c r="AB48" s="16"/>
      <c r="AC48" s="16">
        <f>79834.83+2444326.98</f>
        <v>2524161.81</v>
      </c>
      <c r="AD48" s="16">
        <v>1451371.96</v>
      </c>
      <c r="AE48" s="23">
        <f>15039+567180.92</f>
        <v>582219.92000000004</v>
      </c>
      <c r="AF48" s="13"/>
      <c r="AG48" s="23">
        <f>15039+562240</f>
        <v>577279</v>
      </c>
      <c r="AH48" s="13"/>
      <c r="AI48" s="16">
        <v>497002</v>
      </c>
      <c r="AJ48" s="16"/>
      <c r="AK48" s="16">
        <v>495074</v>
      </c>
      <c r="AL48" s="16"/>
      <c r="AM48" s="16"/>
      <c r="AN48" s="16"/>
      <c r="AO48" s="16"/>
      <c r="AP48" s="16"/>
      <c r="AQ48" s="24"/>
      <c r="AR48" s="24"/>
    </row>
    <row r="49" spans="1:44" ht="30.75" customHeight="1" x14ac:dyDescent="0.25">
      <c r="A49" s="109" t="s">
        <v>16</v>
      </c>
      <c r="B49" s="1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31333.33</v>
      </c>
      <c r="P49" s="2"/>
      <c r="Q49" s="2">
        <v>31999.99</v>
      </c>
      <c r="R49" s="2"/>
      <c r="S49" s="2"/>
      <c r="T49" s="2"/>
      <c r="U49" s="2"/>
      <c r="V49" s="2"/>
      <c r="W49" s="2"/>
      <c r="X49" s="2"/>
      <c r="Y49" s="2">
        <v>134475.21</v>
      </c>
      <c r="Z49" s="2">
        <v>134475.21</v>
      </c>
      <c r="AA49" s="16">
        <v>747720.56</v>
      </c>
      <c r="AB49" s="16">
        <v>747720.56</v>
      </c>
      <c r="AC49" s="16">
        <v>1581975.05</v>
      </c>
      <c r="AD49" s="16">
        <v>1581975.05</v>
      </c>
      <c r="AE49" s="23">
        <v>4976546.17</v>
      </c>
      <c r="AF49" s="13"/>
      <c r="AG49" s="23">
        <v>4976546.17</v>
      </c>
      <c r="AH49" s="13"/>
      <c r="AI49" s="16">
        <v>1823168.82</v>
      </c>
      <c r="AJ49" s="16"/>
      <c r="AK49" s="16">
        <v>1823168.82</v>
      </c>
      <c r="AL49" s="16"/>
      <c r="AM49" s="16"/>
      <c r="AN49" s="16"/>
      <c r="AO49" s="16"/>
      <c r="AP49" s="16"/>
      <c r="AQ49" s="24"/>
      <c r="AR49" s="24"/>
    </row>
    <row r="50" spans="1:44" ht="2.25" hidden="1" customHeight="1" x14ac:dyDescent="0.25">
      <c r="A50" s="111" t="s">
        <v>4</v>
      </c>
      <c r="B50" s="112"/>
      <c r="C50" s="115">
        <v>654159.29</v>
      </c>
      <c r="D50" s="115">
        <f>SUM(D52:D56)</f>
        <v>0</v>
      </c>
      <c r="E50" s="115">
        <f t="shared" ref="E50:Z50" si="11">SUM(E52:E56)</f>
        <v>159427.71</v>
      </c>
      <c r="F50" s="115">
        <f t="shared" si="11"/>
        <v>156150</v>
      </c>
      <c r="G50" s="115">
        <f t="shared" si="11"/>
        <v>166323.26</v>
      </c>
      <c r="H50" s="115">
        <f t="shared" si="11"/>
        <v>156150</v>
      </c>
      <c r="I50" s="115">
        <f t="shared" si="11"/>
        <v>158187.54</v>
      </c>
      <c r="J50" s="115">
        <f t="shared" si="11"/>
        <v>156150</v>
      </c>
      <c r="K50" s="115">
        <f t="shared" si="11"/>
        <v>157389.10999999999</v>
      </c>
      <c r="L50" s="115">
        <f t="shared" si="11"/>
        <v>156150</v>
      </c>
      <c r="M50" s="115">
        <f t="shared" si="11"/>
        <v>162310.56</v>
      </c>
      <c r="N50" s="115">
        <f t="shared" si="11"/>
        <v>156150</v>
      </c>
      <c r="O50" s="115">
        <f t="shared" si="11"/>
        <v>158206.72</v>
      </c>
      <c r="P50" s="115">
        <f t="shared" si="11"/>
        <v>156150</v>
      </c>
      <c r="Q50" s="115">
        <f t="shared" si="11"/>
        <v>162910.32999999999</v>
      </c>
      <c r="R50" s="115">
        <f t="shared" si="11"/>
        <v>156150</v>
      </c>
      <c r="S50" s="115">
        <f t="shared" si="11"/>
        <v>159608.60999999999</v>
      </c>
      <c r="T50" s="115">
        <f t="shared" si="11"/>
        <v>156150</v>
      </c>
      <c r="U50" s="115">
        <f t="shared" si="11"/>
        <v>157986.35</v>
      </c>
      <c r="V50" s="115">
        <f t="shared" si="11"/>
        <v>156150</v>
      </c>
      <c r="W50" s="115">
        <f t="shared" si="11"/>
        <v>159926.9</v>
      </c>
      <c r="X50" s="115">
        <f t="shared" si="11"/>
        <v>156150</v>
      </c>
      <c r="Y50" s="115">
        <f t="shared" si="11"/>
        <v>0</v>
      </c>
      <c r="Z50" s="115">
        <f t="shared" si="11"/>
        <v>0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129">
        <f>Y50/E50-1</f>
        <v>-1</v>
      </c>
      <c r="AR50" s="129">
        <f>Z50/F50-1</f>
        <v>-1</v>
      </c>
    </row>
    <row r="51" spans="1:44" hidden="1" x14ac:dyDescent="0.25">
      <c r="A51" s="113"/>
      <c r="B51" s="11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130"/>
      <c r="AR51" s="130"/>
    </row>
    <row r="52" spans="1:44" hidden="1" x14ac:dyDescent="0.25">
      <c r="A52" s="109" t="s">
        <v>11</v>
      </c>
      <c r="B52" s="110"/>
      <c r="C52" s="2"/>
      <c r="D52" s="2"/>
      <c r="E52" s="2">
        <v>2936.71</v>
      </c>
      <c r="F52" s="2"/>
      <c r="G52" s="2">
        <v>10173.26</v>
      </c>
      <c r="H52" s="2"/>
      <c r="I52" s="2">
        <v>2037.54</v>
      </c>
      <c r="J52" s="2"/>
      <c r="K52" s="2">
        <v>1239.1099999999999</v>
      </c>
      <c r="L52" s="2"/>
      <c r="M52" s="2">
        <v>6160.56</v>
      </c>
      <c r="N52" s="2"/>
      <c r="O52" s="2">
        <v>2056.7199999999998</v>
      </c>
      <c r="P52" s="2"/>
      <c r="Q52" s="2">
        <v>4968.33</v>
      </c>
      <c r="R52" s="2"/>
      <c r="S52" s="2">
        <v>3458.61</v>
      </c>
      <c r="T52" s="2"/>
      <c r="U52" s="2">
        <v>1836.35</v>
      </c>
      <c r="V52" s="2"/>
      <c r="W52" s="2">
        <v>3776.9</v>
      </c>
      <c r="X52" s="2"/>
      <c r="Y52" s="2"/>
      <c r="Z52" s="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31"/>
      <c r="AR52" s="31"/>
    </row>
    <row r="53" spans="1:44" hidden="1" x14ac:dyDescent="0.25">
      <c r="A53" s="109" t="s">
        <v>8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31"/>
      <c r="AR53" s="31"/>
    </row>
    <row r="54" spans="1:44" hidden="1" x14ac:dyDescent="0.25">
      <c r="A54" s="109" t="s">
        <v>9</v>
      </c>
      <c r="B54" s="110"/>
      <c r="C54" s="2"/>
      <c r="D54" s="2"/>
      <c r="E54" s="2">
        <v>-10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31"/>
      <c r="AR54" s="31"/>
    </row>
    <row r="55" spans="1:44" hidden="1" x14ac:dyDescent="0.25">
      <c r="A55" s="109" t="s">
        <v>10</v>
      </c>
      <c r="B55" s="110"/>
      <c r="C55" s="2"/>
      <c r="D55" s="2"/>
      <c r="E55" s="2">
        <v>351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1792</v>
      </c>
      <c r="R55" s="2"/>
      <c r="S55" s="2"/>
      <c r="T55" s="2"/>
      <c r="U55" s="2"/>
      <c r="V55" s="2"/>
      <c r="W55" s="2"/>
      <c r="X55" s="2"/>
      <c r="Y55" s="2"/>
      <c r="Z55" s="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1"/>
      <c r="AR55" s="31"/>
    </row>
    <row r="56" spans="1:44" hidden="1" x14ac:dyDescent="0.25">
      <c r="A56" s="109" t="s">
        <v>16</v>
      </c>
      <c r="B56" s="110"/>
      <c r="C56" s="2"/>
      <c r="D56" s="2"/>
      <c r="E56" s="2">
        <v>156150</v>
      </c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0</v>
      </c>
      <c r="Z56" s="2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1"/>
      <c r="AR56" s="31"/>
    </row>
    <row r="57" spans="1:44" x14ac:dyDescent="0.25">
      <c r="A57" s="111" t="s">
        <v>18</v>
      </c>
      <c r="B57" s="112"/>
      <c r="C57" s="107">
        <v>10829169.880000001</v>
      </c>
      <c r="D57" s="107">
        <f>1640975.89+2975186.97+988391.8</f>
        <v>5604554.6600000001</v>
      </c>
      <c r="E57" s="107">
        <f>SUM(E59:E63)</f>
        <v>6197764.7700000005</v>
      </c>
      <c r="F57" s="107">
        <f>SUM(F59:F63)</f>
        <v>3749667.49</v>
      </c>
      <c r="G57" s="107">
        <f t="shared" ref="G57:AD57" si="12">SUM(G59:G63)</f>
        <v>6852948.2799999993</v>
      </c>
      <c r="H57" s="107">
        <f t="shared" si="12"/>
        <v>3749667.49</v>
      </c>
      <c r="I57" s="107">
        <f t="shared" si="12"/>
        <v>5929212.6499999994</v>
      </c>
      <c r="J57" s="107">
        <f t="shared" si="12"/>
        <v>2974471.0500000003</v>
      </c>
      <c r="K57" s="107">
        <f t="shared" si="12"/>
        <v>7559967.5599999996</v>
      </c>
      <c r="L57" s="107">
        <f t="shared" si="12"/>
        <v>2974471.0500000003</v>
      </c>
      <c r="M57" s="107">
        <f t="shared" si="12"/>
        <v>6930316.6799999997</v>
      </c>
      <c r="N57" s="107">
        <f t="shared" si="12"/>
        <v>4894294.6399999997</v>
      </c>
      <c r="O57" s="107">
        <f t="shared" si="12"/>
        <v>7219255.4799999995</v>
      </c>
      <c r="P57" s="107">
        <f t="shared" si="12"/>
        <v>4894294.6399999997</v>
      </c>
      <c r="Q57" s="107">
        <f t="shared" si="12"/>
        <v>9600917.8499999996</v>
      </c>
      <c r="R57" s="107">
        <f t="shared" si="12"/>
        <v>4651292.82</v>
      </c>
      <c r="S57" s="107">
        <f t="shared" si="12"/>
        <v>8525632.5199999996</v>
      </c>
      <c r="T57" s="107">
        <f t="shared" si="12"/>
        <v>4005766.16</v>
      </c>
      <c r="U57" s="107">
        <f t="shared" si="12"/>
        <v>10599393.380000001</v>
      </c>
      <c r="V57" s="107">
        <f t="shared" si="12"/>
        <v>1496363.55</v>
      </c>
      <c r="W57" s="107">
        <f t="shared" si="12"/>
        <v>20377243.73</v>
      </c>
      <c r="X57" s="107">
        <f t="shared" si="12"/>
        <v>1496363.55</v>
      </c>
      <c r="Y57" s="107">
        <f t="shared" si="12"/>
        <v>20412653.610000003</v>
      </c>
      <c r="Z57" s="107">
        <f t="shared" si="12"/>
        <v>13308419.82</v>
      </c>
      <c r="AA57" s="124">
        <f t="shared" si="12"/>
        <v>54055934.440000005</v>
      </c>
      <c r="AB57" s="124">
        <f t="shared" si="12"/>
        <v>17697811.539999999</v>
      </c>
      <c r="AC57" s="124">
        <f t="shared" si="12"/>
        <v>61418098.109999999</v>
      </c>
      <c r="AD57" s="124">
        <f t="shared" si="12"/>
        <v>39172056.890000001</v>
      </c>
      <c r="AE57" s="118">
        <f>AE59+AE60+AE61+AE62+AE63</f>
        <v>12238071.009999998</v>
      </c>
      <c r="AF57" s="118">
        <f>AF59+AF60+AF61+AF62+AF63</f>
        <v>4454905.63</v>
      </c>
      <c r="AG57" s="118">
        <f>AG59+AG60+AG61+AG62+AG63</f>
        <v>401041.57</v>
      </c>
      <c r="AH57" s="118">
        <f>AH59+AH60+AH61+AH62+AH63</f>
        <v>0</v>
      </c>
      <c r="AI57" s="120">
        <f>AI59+AI60+AI61+AI62+AI63</f>
        <v>75253.62</v>
      </c>
      <c r="AJ57" s="120">
        <v>0</v>
      </c>
      <c r="AK57" s="120">
        <v>0</v>
      </c>
      <c r="AL57" s="120">
        <v>0</v>
      </c>
      <c r="AM57" s="120">
        <f>AM59+AM60+AM61+AM62+AM63</f>
        <v>0</v>
      </c>
      <c r="AN57" s="120">
        <f>AN59+AN60+AN61+AN62+AN63</f>
        <v>0</v>
      </c>
      <c r="AO57" s="120">
        <f>AO59+AO60+AO61+AO62+AO63</f>
        <v>0</v>
      </c>
      <c r="AP57" s="120">
        <f>AP59+AP60+AP61+AP62+AP63</f>
        <v>0</v>
      </c>
      <c r="AQ57" s="116">
        <f>AM57/AI57-1</f>
        <v>-1</v>
      </c>
      <c r="AR57" s="116" t="e">
        <f>AO57/AK57-1</f>
        <v>#DIV/0!</v>
      </c>
    </row>
    <row r="58" spans="1:44" x14ac:dyDescent="0.25">
      <c r="A58" s="113"/>
      <c r="B58" s="11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5"/>
      <c r="AB58" s="125"/>
      <c r="AC58" s="125"/>
      <c r="AD58" s="125"/>
      <c r="AE58" s="119"/>
      <c r="AF58" s="119"/>
      <c r="AG58" s="119"/>
      <c r="AH58" s="119"/>
      <c r="AI58" s="121"/>
      <c r="AJ58" s="121"/>
      <c r="AK58" s="121"/>
      <c r="AL58" s="121"/>
      <c r="AM58" s="121"/>
      <c r="AN58" s="121"/>
      <c r="AO58" s="121"/>
      <c r="AP58" s="121"/>
      <c r="AQ58" s="117"/>
      <c r="AR58" s="117"/>
    </row>
    <row r="59" spans="1:44" ht="45" customHeight="1" x14ac:dyDescent="0.25">
      <c r="A59" s="109" t="s">
        <v>11</v>
      </c>
      <c r="B59" s="110"/>
      <c r="C59" s="1"/>
      <c r="D59" s="1"/>
      <c r="E59" s="1">
        <v>6195284.0800000001</v>
      </c>
      <c r="F59" s="1">
        <f>3363056.56+386610.93</f>
        <v>3749667.49</v>
      </c>
      <c r="G59" s="1">
        <f>2263909.36+4559378.25</f>
        <v>6823287.6099999994</v>
      </c>
      <c r="H59" s="1">
        <f>386610.93+3363056.56</f>
        <v>3749667.49</v>
      </c>
      <c r="I59" s="1">
        <f>1799893.76+4099496.79</f>
        <v>5899390.5499999998</v>
      </c>
      <c r="J59" s="1">
        <f>386610.93+2587860.12</f>
        <v>2974471.0500000003</v>
      </c>
      <c r="K59" s="1">
        <f>5416106.16+2141154.26+1386.18+1320.96</f>
        <v>7559967.5599999996</v>
      </c>
      <c r="L59" s="1">
        <f>2587860.12+386610.93</f>
        <v>2974471.0500000003</v>
      </c>
      <c r="M59" s="1">
        <v>6930316.6799999997</v>
      </c>
      <c r="N59" s="1">
        <v>4894294.6399999997</v>
      </c>
      <c r="O59" s="1">
        <f>1865798.47+5348998.75</f>
        <v>7214797.2199999997</v>
      </c>
      <c r="P59" s="1">
        <f>386610.93+4507683.71</f>
        <v>4894294.6399999997</v>
      </c>
      <c r="Q59" s="1">
        <v>9600917.8499999996</v>
      </c>
      <c r="R59" s="1">
        <v>4651292.82</v>
      </c>
      <c r="S59" s="1">
        <f>2951333.92+5555295.68+15251.76+3751.16</f>
        <v>8525632.5199999996</v>
      </c>
      <c r="T59" s="1">
        <f>3619155.23+386610.93</f>
        <v>4005766.16</v>
      </c>
      <c r="U59" s="1">
        <f>1992205.58+8591549.02+5323.15+10315.63</f>
        <v>10599393.380000001</v>
      </c>
      <c r="V59" s="1">
        <f>1109752.62+386610.93</f>
        <v>1496363.55</v>
      </c>
      <c r="W59" s="1">
        <f>10545735.23+9823125.67+3422.46+4960.37</f>
        <v>20377243.73</v>
      </c>
      <c r="X59" s="1">
        <f>386610.93+1109752.62</f>
        <v>1496363.55</v>
      </c>
      <c r="Y59" s="1">
        <v>20441640.960000001</v>
      </c>
      <c r="Z59" s="1">
        <v>13308419.82</v>
      </c>
      <c r="AA59" s="19">
        <f>33166250.55+116.03+20185020.65+10333.24-153588.27</f>
        <v>53208132.200000003</v>
      </c>
      <c r="AB59" s="19">
        <f>17535000.48+162811.06-153588.27</f>
        <v>17544223.27</v>
      </c>
      <c r="AC59" s="19">
        <f>44014737.97+19482.3+16465957.71</f>
        <v>60500177.979999997</v>
      </c>
      <c r="AD59" s="19">
        <f>29503554.98+9668501.91</f>
        <v>39172056.890000001</v>
      </c>
      <c r="AE59" s="28">
        <v>11770839.189999999</v>
      </c>
      <c r="AF59" s="28">
        <v>4454905.63</v>
      </c>
      <c r="AG59" s="28">
        <v>401041.57</v>
      </c>
      <c r="AH59" s="12"/>
      <c r="AI59" s="19">
        <v>75253.62</v>
      </c>
      <c r="AJ59" s="19">
        <v>0</v>
      </c>
      <c r="AK59" s="19">
        <v>0</v>
      </c>
      <c r="AL59" s="19"/>
      <c r="AM59" s="19"/>
      <c r="AN59" s="19"/>
      <c r="AO59" s="19"/>
      <c r="AP59" s="19"/>
      <c r="AQ59" s="34"/>
      <c r="AR59" s="34"/>
    </row>
    <row r="60" spans="1:44" x14ac:dyDescent="0.25">
      <c r="A60" s="109" t="s">
        <v>8</v>
      </c>
      <c r="B60" s="1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9">
        <f>174701.03+239873.77</f>
        <v>414574.8</v>
      </c>
      <c r="AB60" s="19"/>
      <c r="AC60" s="19">
        <f>340113.75+6309.58+298211.41</f>
        <v>644634.74</v>
      </c>
      <c r="AD60" s="19"/>
      <c r="AE60" s="28">
        <f>180975.63+90797+9669.95</f>
        <v>281442.58</v>
      </c>
      <c r="AF60" s="12"/>
      <c r="AG60" s="12"/>
      <c r="AH60" s="12"/>
      <c r="AI60" s="19"/>
      <c r="AJ60" s="19"/>
      <c r="AK60" s="19"/>
      <c r="AL60" s="19"/>
      <c r="AM60" s="19"/>
      <c r="AN60" s="19"/>
      <c r="AO60" s="19"/>
      <c r="AP60" s="19"/>
      <c r="AQ60" s="34"/>
      <c r="AR60" s="34"/>
    </row>
    <row r="61" spans="1:44" ht="45.75" customHeight="1" x14ac:dyDescent="0.25">
      <c r="A61" s="109" t="s">
        <v>9</v>
      </c>
      <c r="B61" s="110"/>
      <c r="C61" s="1"/>
      <c r="D61" s="1"/>
      <c r="E61" s="1"/>
      <c r="F61" s="1"/>
      <c r="G61" s="1">
        <v>-0.01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9">
        <v>150004.17000000001</v>
      </c>
      <c r="AB61" s="19"/>
      <c r="AC61" s="19">
        <f>218911.42+53273.97</f>
        <v>272185.39</v>
      </c>
      <c r="AD61" s="19"/>
      <c r="AE61" s="28">
        <v>185472.7</v>
      </c>
      <c r="AF61" s="12"/>
      <c r="AG61" s="12"/>
      <c r="AH61" s="12"/>
      <c r="AI61" s="19"/>
      <c r="AJ61" s="19"/>
      <c r="AK61" s="19"/>
      <c r="AL61" s="19"/>
      <c r="AM61" s="19"/>
      <c r="AN61" s="19"/>
      <c r="AO61" s="19"/>
      <c r="AP61" s="19"/>
      <c r="AQ61" s="34"/>
      <c r="AR61" s="34"/>
    </row>
    <row r="62" spans="1:44" x14ac:dyDescent="0.25">
      <c r="A62" s="109" t="s">
        <v>10</v>
      </c>
      <c r="B62" s="110"/>
      <c r="C62" s="1"/>
      <c r="D62" s="1"/>
      <c r="E62" s="1"/>
      <c r="F62" s="1"/>
      <c r="G62" s="1">
        <v>-67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-94199.79</v>
      </c>
      <c r="Z62" s="1"/>
      <c r="AA62" s="19">
        <f>129635</f>
        <v>129635</v>
      </c>
      <c r="AB62" s="19"/>
      <c r="AC62" s="19"/>
      <c r="AD62" s="19"/>
      <c r="AE62" s="28"/>
      <c r="AF62" s="12"/>
      <c r="AG62" s="12"/>
      <c r="AH62" s="12"/>
      <c r="AI62" s="19"/>
      <c r="AJ62" s="19"/>
      <c r="AK62" s="19"/>
      <c r="AL62" s="19"/>
      <c r="AM62" s="19"/>
      <c r="AN62" s="19"/>
      <c r="AO62" s="19"/>
      <c r="AP62" s="19"/>
      <c r="AQ62" s="34"/>
      <c r="AR62" s="34"/>
    </row>
    <row r="63" spans="1:44" ht="30" customHeight="1" x14ac:dyDescent="0.25">
      <c r="A63" s="109" t="s">
        <v>16</v>
      </c>
      <c r="B63" s="110"/>
      <c r="C63" s="1"/>
      <c r="D63" s="1"/>
      <c r="E63" s="1">
        <v>2480.69</v>
      </c>
      <c r="F63" s="1"/>
      <c r="G63" s="1">
        <f>10138.57+19589.11</f>
        <v>29727.68</v>
      </c>
      <c r="H63" s="1"/>
      <c r="I63" s="1">
        <f>14183.88+15638.22</f>
        <v>29822.1</v>
      </c>
      <c r="J63" s="1"/>
      <c r="K63" s="1"/>
      <c r="L63" s="1"/>
      <c r="M63" s="1"/>
      <c r="N63" s="1"/>
      <c r="O63" s="1">
        <v>4458.26</v>
      </c>
      <c r="P63" s="1"/>
      <c r="Q63" s="1"/>
      <c r="R63" s="1"/>
      <c r="S63" s="1"/>
      <c r="T63" s="1"/>
      <c r="U63" s="1"/>
      <c r="V63" s="1"/>
      <c r="W63" s="1"/>
      <c r="X63" s="1"/>
      <c r="Y63" s="1">
        <v>65212.44</v>
      </c>
      <c r="Z63" s="1"/>
      <c r="AA63" s="19">
        <v>153588.26999999999</v>
      </c>
      <c r="AB63" s="19">
        <v>153588.26999999999</v>
      </c>
      <c r="AC63" s="19">
        <v>1100</v>
      </c>
      <c r="AD63" s="19"/>
      <c r="AE63" s="28">
        <v>316.54000000000002</v>
      </c>
      <c r="AF63" s="12"/>
      <c r="AG63" s="12"/>
      <c r="AH63" s="12"/>
      <c r="AI63" s="19"/>
      <c r="AJ63" s="19"/>
      <c r="AK63" s="19"/>
      <c r="AL63" s="19"/>
      <c r="AM63" s="19"/>
      <c r="AN63" s="19"/>
      <c r="AO63" s="19"/>
      <c r="AP63" s="19"/>
      <c r="AQ63" s="34"/>
      <c r="AR63" s="34"/>
    </row>
    <row r="64" spans="1:44" x14ac:dyDescent="0.25">
      <c r="A64" s="111" t="s">
        <v>15</v>
      </c>
      <c r="B64" s="112"/>
      <c r="C64" s="115">
        <v>-1470.89</v>
      </c>
      <c r="D64" s="115">
        <f>SUM(D66:D70)</f>
        <v>0</v>
      </c>
      <c r="E64" s="115">
        <f t="shared" ref="E64:AB64" si="13">SUM(E66:E70)</f>
        <v>741.25</v>
      </c>
      <c r="F64" s="115">
        <f t="shared" si="13"/>
        <v>0</v>
      </c>
      <c r="G64" s="115">
        <f t="shared" si="13"/>
        <v>0</v>
      </c>
      <c r="H64" s="115">
        <f t="shared" si="13"/>
        <v>0</v>
      </c>
      <c r="I64" s="115">
        <f t="shared" si="13"/>
        <v>0</v>
      </c>
      <c r="J64" s="115">
        <f t="shared" si="13"/>
        <v>0</v>
      </c>
      <c r="K64" s="115">
        <f t="shared" si="13"/>
        <v>0</v>
      </c>
      <c r="L64" s="115">
        <f t="shared" si="13"/>
        <v>0</v>
      </c>
      <c r="M64" s="115">
        <f t="shared" si="13"/>
        <v>0</v>
      </c>
      <c r="N64" s="115">
        <f t="shared" si="13"/>
        <v>0</v>
      </c>
      <c r="O64" s="115">
        <f t="shared" si="13"/>
        <v>0</v>
      </c>
      <c r="P64" s="115">
        <f t="shared" si="13"/>
        <v>0</v>
      </c>
      <c r="Q64" s="115">
        <f t="shared" si="13"/>
        <v>0</v>
      </c>
      <c r="R64" s="115">
        <f t="shared" si="13"/>
        <v>0</v>
      </c>
      <c r="S64" s="115">
        <f t="shared" si="13"/>
        <v>0</v>
      </c>
      <c r="T64" s="115">
        <f t="shared" si="13"/>
        <v>0</v>
      </c>
      <c r="U64" s="115">
        <f t="shared" si="13"/>
        <v>0</v>
      </c>
      <c r="V64" s="115">
        <f t="shared" si="13"/>
        <v>0</v>
      </c>
      <c r="W64" s="115">
        <f t="shared" si="13"/>
        <v>0</v>
      </c>
      <c r="X64" s="115">
        <f t="shared" si="13"/>
        <v>0</v>
      </c>
      <c r="Y64" s="115">
        <f t="shared" si="13"/>
        <v>0</v>
      </c>
      <c r="Z64" s="115">
        <f t="shared" si="13"/>
        <v>0</v>
      </c>
      <c r="AA64" s="128">
        <f>AA66+AA67+AA68+AA69+AA70</f>
        <v>84248.31</v>
      </c>
      <c r="AB64" s="128">
        <f t="shared" si="13"/>
        <v>0</v>
      </c>
      <c r="AC64" s="128">
        <f>SUM(AC66:AC70)</f>
        <v>130082.92000000001</v>
      </c>
      <c r="AD64" s="128">
        <f>SUM(AD66:AD70)</f>
        <v>0</v>
      </c>
      <c r="AE64" s="126">
        <f t="shared" ref="AE64:AL64" si="14">AE66+AE67+AE68+AE69+AE70</f>
        <v>122664.07</v>
      </c>
      <c r="AF64" s="126">
        <f t="shared" si="14"/>
        <v>0</v>
      </c>
      <c r="AG64" s="126">
        <f t="shared" si="14"/>
        <v>0</v>
      </c>
      <c r="AH64" s="126">
        <f t="shared" si="14"/>
        <v>0</v>
      </c>
      <c r="AI64" s="122">
        <f t="shared" si="14"/>
        <v>45365.68</v>
      </c>
      <c r="AJ64" s="122">
        <f t="shared" si="14"/>
        <v>0</v>
      </c>
      <c r="AK64" s="122">
        <v>0</v>
      </c>
      <c r="AL64" s="122">
        <f t="shared" si="14"/>
        <v>0</v>
      </c>
      <c r="AM64" s="122">
        <f>AM66+AM67+AM68+AM69+AM70</f>
        <v>41377.9</v>
      </c>
      <c r="AN64" s="122">
        <f>AN66+AN67+AN68+AN69+AN70</f>
        <v>0</v>
      </c>
      <c r="AO64" s="122">
        <f>AO66+AO67+AO68+AO69+AO70</f>
        <v>0</v>
      </c>
      <c r="AP64" s="122">
        <f>AP66+AP67+AP68+AP69+AP70</f>
        <v>0</v>
      </c>
      <c r="AQ64" s="116">
        <f>AM64/AI64-1</f>
        <v>-8.7903013908311234E-2</v>
      </c>
      <c r="AR64" s="116" t="e">
        <f>AO64/AK64-1</f>
        <v>#DIV/0!</v>
      </c>
    </row>
    <row r="65" spans="1:44" x14ac:dyDescent="0.25">
      <c r="A65" s="113"/>
      <c r="B65" s="11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25"/>
      <c r="AB65" s="125"/>
      <c r="AC65" s="131"/>
      <c r="AD65" s="125"/>
      <c r="AE65" s="127"/>
      <c r="AF65" s="127"/>
      <c r="AG65" s="127"/>
      <c r="AH65" s="127"/>
      <c r="AI65" s="123"/>
      <c r="AJ65" s="123"/>
      <c r="AK65" s="123"/>
      <c r="AL65" s="123"/>
      <c r="AM65" s="123"/>
      <c r="AN65" s="123"/>
      <c r="AO65" s="123"/>
      <c r="AP65" s="123"/>
      <c r="AQ65" s="117"/>
      <c r="AR65" s="117"/>
    </row>
    <row r="66" spans="1:44" ht="44.25" customHeight="1" x14ac:dyDescent="0.25">
      <c r="A66" s="109" t="s">
        <v>11</v>
      </c>
      <c r="B66" s="110"/>
      <c r="C66" s="2"/>
      <c r="D66" s="2"/>
      <c r="E66" s="2">
        <v>741.25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6"/>
      <c r="AB66" s="16"/>
      <c r="AC66" s="16">
        <v>5034.4399999999996</v>
      </c>
      <c r="AD66" s="13"/>
      <c r="AE66" s="23">
        <v>354.61</v>
      </c>
      <c r="AF66" s="23"/>
      <c r="AG66" s="23"/>
      <c r="AH66" s="23"/>
      <c r="AI66" s="16"/>
      <c r="AJ66" s="16"/>
      <c r="AK66" s="16"/>
      <c r="AL66" s="16"/>
      <c r="AM66" s="16"/>
      <c r="AN66" s="16"/>
      <c r="AO66" s="16"/>
      <c r="AP66" s="16"/>
      <c r="AQ66" s="24"/>
      <c r="AR66" s="24"/>
    </row>
    <row r="67" spans="1:44" x14ac:dyDescent="0.25">
      <c r="A67" s="109" t="s">
        <v>8</v>
      </c>
      <c r="B67" s="110"/>
      <c r="C67" s="2"/>
      <c r="D67" s="2"/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">
        <v>53091.66</v>
      </c>
      <c r="AB67" s="16"/>
      <c r="AC67" s="16">
        <v>81730</v>
      </c>
      <c r="AD67" s="13"/>
      <c r="AE67" s="23">
        <v>82376</v>
      </c>
      <c r="AF67" s="23"/>
      <c r="AG67" s="23"/>
      <c r="AH67" s="23"/>
      <c r="AI67" s="16">
        <v>28290.47</v>
      </c>
      <c r="AJ67" s="16"/>
      <c r="AK67" s="16"/>
      <c r="AL67" s="16"/>
      <c r="AM67" s="16">
        <v>21914</v>
      </c>
      <c r="AN67" s="16"/>
      <c r="AO67" s="16"/>
      <c r="AP67" s="16"/>
      <c r="AQ67" s="24"/>
      <c r="AR67" s="24"/>
    </row>
    <row r="68" spans="1:44" ht="42.75" customHeight="1" x14ac:dyDescent="0.25">
      <c r="A68" s="109" t="s">
        <v>9</v>
      </c>
      <c r="B68" s="110"/>
      <c r="C68" s="2"/>
      <c r="D68" s="2"/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31156.65</v>
      </c>
      <c r="AB68" s="16"/>
      <c r="AC68" s="16">
        <v>43318.48</v>
      </c>
      <c r="AD68" s="13"/>
      <c r="AE68" s="23">
        <v>39933.46</v>
      </c>
      <c r="AF68" s="23"/>
      <c r="AG68" s="23"/>
      <c r="AH68" s="23"/>
      <c r="AI68" s="16"/>
      <c r="AJ68" s="16"/>
      <c r="AK68" s="16"/>
      <c r="AL68" s="16"/>
      <c r="AM68" s="16"/>
      <c r="AN68" s="16"/>
      <c r="AO68" s="16"/>
      <c r="AP68" s="16"/>
      <c r="AQ68" s="24"/>
      <c r="AR68" s="24"/>
    </row>
    <row r="69" spans="1:44" x14ac:dyDescent="0.25">
      <c r="A69" s="109" t="s">
        <v>10</v>
      </c>
      <c r="B69" s="1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3"/>
      <c r="AD69" s="13"/>
      <c r="AE69" s="13"/>
      <c r="AF69" s="13"/>
      <c r="AG69" s="13"/>
      <c r="AH69" s="13"/>
      <c r="AI69" s="16">
        <v>17075.21</v>
      </c>
      <c r="AJ69" s="16"/>
      <c r="AK69" s="16"/>
      <c r="AL69" s="16"/>
      <c r="AM69" s="16">
        <v>19463.900000000001</v>
      </c>
      <c r="AN69" s="16"/>
      <c r="AO69" s="16"/>
      <c r="AP69" s="16"/>
      <c r="AQ69" s="24"/>
      <c r="AR69" s="24"/>
    </row>
    <row r="70" spans="1:44" ht="27.75" customHeight="1" x14ac:dyDescent="0.25">
      <c r="A70" s="109" t="s">
        <v>16</v>
      </c>
      <c r="B70" s="1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t="0.75" customHeight="1" x14ac:dyDescent="0.25">
      <c r="A71" s="7" t="s">
        <v>25</v>
      </c>
      <c r="B71" s="7"/>
      <c r="C71" s="9">
        <v>3090165.46</v>
      </c>
      <c r="D71" s="9">
        <v>3090165.46</v>
      </c>
      <c r="E71" s="9">
        <f>SUM(E72:E74)</f>
        <v>0</v>
      </c>
      <c r="F71" s="9">
        <f>SUM(F72:F74)</f>
        <v>0</v>
      </c>
      <c r="G71" s="9">
        <f t="shared" ref="G71:Z71" si="15">SUM(G72:G74)</f>
        <v>0</v>
      </c>
      <c r="H71" s="9">
        <f t="shared" si="15"/>
        <v>0</v>
      </c>
      <c r="I71" s="9">
        <f t="shared" si="15"/>
        <v>0</v>
      </c>
      <c r="J71" s="9">
        <f t="shared" si="15"/>
        <v>0</v>
      </c>
      <c r="K71" s="9">
        <f t="shared" si="15"/>
        <v>0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t="shared" si="15"/>
        <v>0</v>
      </c>
      <c r="V71" s="9">
        <f t="shared" si="15"/>
        <v>0</v>
      </c>
      <c r="W71" s="9">
        <f t="shared" si="15"/>
        <v>0</v>
      </c>
      <c r="X71" s="9">
        <f t="shared" si="15"/>
        <v>0</v>
      </c>
      <c r="Y71" s="9">
        <f t="shared" si="15"/>
        <v>0</v>
      </c>
      <c r="Z71" s="9">
        <f t="shared" si="15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129">
        <v>0</v>
      </c>
      <c r="AR71" s="129">
        <v>0</v>
      </c>
    </row>
    <row r="72" spans="1:44" hidden="1" x14ac:dyDescent="0.25">
      <c r="A72" s="109" t="s">
        <v>10</v>
      </c>
      <c r="B72" s="132"/>
      <c r="C72" s="2"/>
      <c r="D72" s="2"/>
      <c r="E72" s="2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130"/>
      <c r="AR72" s="130"/>
    </row>
    <row r="73" spans="1:44" hidden="1" x14ac:dyDescent="0.25">
      <c r="A73" s="133" t="s">
        <v>24</v>
      </c>
      <c r="B73" s="132"/>
      <c r="C73" s="9">
        <f>4008760.53+5844431.63+14283.75+179317.37</f>
        <v>10046793.279999999</v>
      </c>
      <c r="D73" s="9">
        <f>989699.04+1910943.77</f>
        <v>2900642.81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32"/>
      <c r="AR73" s="32"/>
    </row>
    <row r="74" spans="1:44" hidden="1" x14ac:dyDescent="0.25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33" t="s">
        <v>12</v>
      </c>
      <c r="B75" s="132"/>
      <c r="C75" s="10">
        <f>C8+C15+C22+C29+C36+C43+C50+C57+C64+C71+C73</f>
        <v>94587677.819999993</v>
      </c>
      <c r="D75" s="10">
        <f>D8+D15+D22+D29+D36+D43+D50+D57+D64+D71+D73</f>
        <v>68008770.719999999</v>
      </c>
      <c r="E75" s="10">
        <f>E8+E15+E22+E29+E36+E43+E50+E57+E64+E71</f>
        <v>85864729.75999999</v>
      </c>
      <c r="F75" s="10">
        <f>F8+F15+F22+F29+F36+F43+F50+F57+F64+F71</f>
        <v>66510808.209999993</v>
      </c>
      <c r="G75" s="10">
        <f t="shared" ref="G75:Y75" si="16">G8+G15+G22+G29+G36+G43+G50+G57+G64+G71</f>
        <v>93511066.090000018</v>
      </c>
      <c r="H75" s="10">
        <f t="shared" si="16"/>
        <v>66963948.660000004</v>
      </c>
      <c r="I75" s="10">
        <f t="shared" si="16"/>
        <v>92440148.88000001</v>
      </c>
      <c r="J75" s="10">
        <f t="shared" si="16"/>
        <v>69371696.100000009</v>
      </c>
      <c r="K75" s="10">
        <f t="shared" si="16"/>
        <v>93692017.959999993</v>
      </c>
      <c r="L75" s="10">
        <f t="shared" si="16"/>
        <v>72494645.030000001</v>
      </c>
      <c r="M75" s="10">
        <f t="shared" si="16"/>
        <v>95350288.340000004</v>
      </c>
      <c r="N75" s="10">
        <f t="shared" si="16"/>
        <v>74699098.340000004</v>
      </c>
      <c r="O75" s="10">
        <f t="shared" si="16"/>
        <v>92952938.269999996</v>
      </c>
      <c r="P75" s="10">
        <f t="shared" si="16"/>
        <v>82357876.220000014</v>
      </c>
      <c r="Q75" s="10">
        <f t="shared" si="16"/>
        <v>97449531.209999979</v>
      </c>
      <c r="R75" s="10">
        <f t="shared" si="16"/>
        <v>74441297.569999993</v>
      </c>
      <c r="S75" s="10">
        <f t="shared" si="16"/>
        <v>96755275.489999995</v>
      </c>
      <c r="T75" s="10">
        <f t="shared" si="16"/>
        <v>74719949.890000001</v>
      </c>
      <c r="U75" s="10">
        <f t="shared" si="16"/>
        <v>97352731.719999984</v>
      </c>
      <c r="V75" s="10">
        <f t="shared" si="16"/>
        <v>74918061.669999987</v>
      </c>
      <c r="W75" s="10">
        <f t="shared" si="16"/>
        <v>103431682.53</v>
      </c>
      <c r="X75" s="10">
        <f t="shared" si="16"/>
        <v>71550048.36999999</v>
      </c>
      <c r="Y75" s="10">
        <f t="shared" si="16"/>
        <v>139512827.16999999</v>
      </c>
      <c r="Z75" s="10">
        <f>Z8+Z15+Z22+Z29+Z36+Z43+Z50+Z57+Z64+Z71</f>
        <v>116277638.82999998</v>
      </c>
      <c r="AA75" s="20">
        <f>AA8+AA15+AA22+AA29+AA36+AA43+AA50+AA57+AA64+AA71</f>
        <v>136792938.08000001</v>
      </c>
      <c r="AB75" s="20">
        <f>AB8+AB15+AB22+AB29+AB36+AB43+AB50+AB57+AB64+AB71</f>
        <v>43344897.469999999</v>
      </c>
      <c r="AC75" s="20">
        <f>AC8+AC15+AC22+AC29+AC36+AC43+AC50+AC57+AC64+AC71</f>
        <v>211086618.58000001</v>
      </c>
      <c r="AD75" s="20">
        <f>AD8+AD15+AD22+AD29+AD36+AD43+AD50+AD57+AD64+AD71</f>
        <v>119975047.31999999</v>
      </c>
      <c r="AE75" s="10">
        <f t="shared" ref="AE75:AL75" si="17">AE8+AE15+AE22+AE29+AE36+AE43+AE57+AE64</f>
        <v>210062888.64999998</v>
      </c>
      <c r="AF75" s="10">
        <f t="shared" si="17"/>
        <v>99495187.609999999</v>
      </c>
      <c r="AG75" s="10">
        <f t="shared" si="17"/>
        <v>86313931.799999982</v>
      </c>
      <c r="AH75" s="10">
        <f t="shared" si="17"/>
        <v>23141374.309999999</v>
      </c>
      <c r="AI75" s="20">
        <f t="shared" si="17"/>
        <v>128946217.90000001</v>
      </c>
      <c r="AJ75" s="20">
        <f t="shared" si="17"/>
        <v>32163242.649999999</v>
      </c>
      <c r="AK75" s="20">
        <f t="shared" si="17"/>
        <v>14429840.109999999</v>
      </c>
      <c r="AL75" s="20">
        <f t="shared" si="17"/>
        <v>0</v>
      </c>
      <c r="AM75" s="38">
        <f>AM8+AM15+AM22+AM29+AM36+AM43+AM57+AM64</f>
        <v>132357192.22</v>
      </c>
      <c r="AN75" s="38">
        <f>AN8+AN15+AN22+AN29+AN36+AN43+AN57+AN64</f>
        <v>35176559.539999999</v>
      </c>
      <c r="AO75" s="38">
        <f>AO8+AO15+AO22+AO29+AO36+AO43+AO57+AO64</f>
        <v>7161405.8499999996</v>
      </c>
      <c r="AP75" s="38">
        <f>AP8+AP15+AP22+AP29+AP36+AP43+AP57+AP64</f>
        <v>0</v>
      </c>
      <c r="AQ75" s="35">
        <f>AM75/AI75-1</f>
        <v>2.6452689931900641E-2</v>
      </c>
      <c r="AR75" s="35">
        <f>AO75/AK75-1</f>
        <v>-0.50370857920753498</v>
      </c>
    </row>
    <row r="76" spans="1:44" ht="42.75" customHeight="1" x14ac:dyDescent="0.25">
      <c r="A76" s="109" t="s">
        <v>11</v>
      </c>
      <c r="B76" s="132"/>
      <c r="C76" s="2">
        <f t="shared" ref="C76:AD80" si="18">C10+C17+C24+C31+C38+C45+C52+C59+C66</f>
        <v>0</v>
      </c>
      <c r="D76" s="2">
        <f t="shared" si="18"/>
        <v>0</v>
      </c>
      <c r="E76" s="2">
        <f t="shared" si="18"/>
        <v>17953226.410000004</v>
      </c>
      <c r="F76" s="2">
        <f t="shared" si="18"/>
        <v>6382951.8399999943</v>
      </c>
      <c r="G76" s="2">
        <f t="shared" si="18"/>
        <v>19216097.170000002</v>
      </c>
      <c r="H76" s="2">
        <f t="shared" si="18"/>
        <v>6555841.7200000007</v>
      </c>
      <c r="I76" s="2">
        <f t="shared" si="18"/>
        <v>22865503.460000001</v>
      </c>
      <c r="J76" s="2">
        <f t="shared" si="18"/>
        <v>5864947.9199999999</v>
      </c>
      <c r="K76" s="2">
        <f t="shared" si="18"/>
        <v>17090632.079999998</v>
      </c>
      <c r="L76" s="2">
        <f t="shared" si="18"/>
        <v>5837825.0099999998</v>
      </c>
      <c r="M76" s="2">
        <f t="shared" si="18"/>
        <v>16099291.18</v>
      </c>
      <c r="N76" s="2">
        <f t="shared" si="18"/>
        <v>7784857.7199999997</v>
      </c>
      <c r="O76" s="2">
        <f t="shared" si="18"/>
        <v>16094244.300000001</v>
      </c>
      <c r="P76" s="2">
        <f t="shared" si="18"/>
        <v>7902977.2199999997</v>
      </c>
      <c r="Q76" s="2">
        <f t="shared" si="18"/>
        <v>20791692.359999999</v>
      </c>
      <c r="R76" s="2">
        <f t="shared" si="18"/>
        <v>7175180.9199999999</v>
      </c>
      <c r="S76" s="2">
        <f t="shared" si="18"/>
        <v>20070445.379999999</v>
      </c>
      <c r="T76" s="2">
        <f t="shared" si="18"/>
        <v>6987489.4900000002</v>
      </c>
      <c r="U76" s="2">
        <f t="shared" si="18"/>
        <v>24410984.270000003</v>
      </c>
      <c r="V76" s="2">
        <f t="shared" si="18"/>
        <v>4182653.4699999997</v>
      </c>
      <c r="W76" s="2">
        <f t="shared" si="18"/>
        <v>34358661.780000001</v>
      </c>
      <c r="X76" s="2">
        <f t="shared" si="18"/>
        <v>4756662.17</v>
      </c>
      <c r="Y76" s="2">
        <f t="shared" si="18"/>
        <v>37550191.880000003</v>
      </c>
      <c r="Z76" s="2">
        <f t="shared" si="18"/>
        <v>19969076.690000001</v>
      </c>
      <c r="AA76" s="16">
        <f t="shared" si="18"/>
        <v>78679277.219999999</v>
      </c>
      <c r="AB76" s="16">
        <f t="shared" si="18"/>
        <v>28544503.479999997</v>
      </c>
      <c r="AC76" s="16">
        <f t="shared" si="18"/>
        <v>97897786.019999981</v>
      </c>
      <c r="AD76" s="16">
        <f t="shared" si="18"/>
        <v>50095879.390000001</v>
      </c>
      <c r="AE76" s="23">
        <f t="shared" ref="AE76:AP80" si="19">AE10+AE17+AE24+AE31+AE38+AE45+AE59+AE66</f>
        <v>108565286.30999999</v>
      </c>
      <c r="AF76" s="23">
        <f>AF10+AF17+AF24+AF31+AF38+AF45+AF59+AF66</f>
        <v>66674832.540000007</v>
      </c>
      <c r="AG76" s="23">
        <f t="shared" si="19"/>
        <v>32847516.43</v>
      </c>
      <c r="AH76" s="23">
        <f t="shared" si="19"/>
        <v>21260780.43</v>
      </c>
      <c r="AI76" s="16">
        <f t="shared" si="19"/>
        <v>59026929.369999997</v>
      </c>
      <c r="AJ76" s="16">
        <f>AJ10+AJ17+AJ24+AJ31+AJ38+AJ45+AJ59+AJ66</f>
        <v>219982.55</v>
      </c>
      <c r="AK76" s="16">
        <f t="shared" si="19"/>
        <v>3777110.1399999997</v>
      </c>
      <c r="AL76" s="16">
        <f t="shared" si="19"/>
        <v>0</v>
      </c>
      <c r="AM76" s="16">
        <f>AM10+AM17+AM24+AM31+AM38+AM45+AM59+AM66</f>
        <v>67684042.780000001</v>
      </c>
      <c r="AN76" s="16">
        <f>AN10+AN17+AN24+AN31+AN38+AN45+AN59+AN66</f>
        <v>948108.65999999992</v>
      </c>
      <c r="AO76" s="16">
        <f>AO10+AO17+AO24+AO31+AO38+AO45+AO59+AO66</f>
        <v>3620343.81</v>
      </c>
      <c r="AP76" s="16">
        <f>AP10+AP17+AP24+AP31+AP38+AP45+AP59+AP66</f>
        <v>0</v>
      </c>
      <c r="AQ76" s="36"/>
      <c r="AR76" s="36"/>
    </row>
    <row r="77" spans="1:44" x14ac:dyDescent="0.25">
      <c r="A77" s="109" t="s">
        <v>8</v>
      </c>
      <c r="B77" s="132"/>
      <c r="C77" s="2">
        <f t="shared" si="18"/>
        <v>0</v>
      </c>
      <c r="D77" s="2">
        <f t="shared" si="18"/>
        <v>0</v>
      </c>
      <c r="E77" s="2">
        <f t="shared" si="18"/>
        <v>0</v>
      </c>
      <c r="F77" s="2">
        <f t="shared" si="18"/>
        <v>0</v>
      </c>
      <c r="G77" s="2">
        <f t="shared" si="18"/>
        <v>1611249.67</v>
      </c>
      <c r="H77" s="2">
        <f t="shared" si="18"/>
        <v>0</v>
      </c>
      <c r="I77" s="2">
        <f t="shared" si="18"/>
        <v>1404831.87</v>
      </c>
      <c r="J77" s="2">
        <f t="shared" si="18"/>
        <v>0</v>
      </c>
      <c r="K77" s="2">
        <f t="shared" si="18"/>
        <v>2089553.3599999999</v>
      </c>
      <c r="L77" s="2">
        <f t="shared" si="18"/>
        <v>0</v>
      </c>
      <c r="M77" s="2">
        <f t="shared" si="18"/>
        <v>1291836.76</v>
      </c>
      <c r="N77" s="2">
        <f t="shared" si="18"/>
        <v>0</v>
      </c>
      <c r="O77" s="2">
        <f t="shared" si="18"/>
        <v>1343049.24</v>
      </c>
      <c r="P77" s="2">
        <f t="shared" si="18"/>
        <v>0</v>
      </c>
      <c r="Q77" s="2">
        <f t="shared" si="18"/>
        <v>1452525.99</v>
      </c>
      <c r="R77" s="2">
        <f t="shared" si="18"/>
        <v>0</v>
      </c>
      <c r="S77" s="2">
        <f t="shared" si="18"/>
        <v>1242140.78</v>
      </c>
      <c r="T77" s="2">
        <f t="shared" si="18"/>
        <v>0</v>
      </c>
      <c r="U77" s="2">
        <f t="shared" si="18"/>
        <v>1196585.6499999999</v>
      </c>
      <c r="V77" s="2">
        <f t="shared" si="18"/>
        <v>0</v>
      </c>
      <c r="W77" s="2">
        <f t="shared" si="18"/>
        <v>1283435.7</v>
      </c>
      <c r="X77" s="2">
        <f t="shared" si="18"/>
        <v>0</v>
      </c>
      <c r="Y77" s="2">
        <f t="shared" si="18"/>
        <v>0</v>
      </c>
      <c r="Z77" s="2">
        <f t="shared" si="18"/>
        <v>0</v>
      </c>
      <c r="AA77" s="16">
        <f t="shared" si="18"/>
        <v>28007459.789999999</v>
      </c>
      <c r="AB77" s="16">
        <f t="shared" si="18"/>
        <v>0</v>
      </c>
      <c r="AC77" s="16">
        <f t="shared" si="18"/>
        <v>33425614.419999998</v>
      </c>
      <c r="AD77" s="16">
        <f t="shared" si="18"/>
        <v>0</v>
      </c>
      <c r="AE77" s="23">
        <f t="shared" si="19"/>
        <v>33462185.5</v>
      </c>
      <c r="AF77" s="23">
        <f t="shared" si="19"/>
        <v>18386199.240000002</v>
      </c>
      <c r="AG77" s="23">
        <f t="shared" si="19"/>
        <v>0</v>
      </c>
      <c r="AH77" s="23">
        <f t="shared" si="19"/>
        <v>0</v>
      </c>
      <c r="AI77" s="16">
        <f t="shared" si="19"/>
        <v>36363970.560000002</v>
      </c>
      <c r="AJ77" s="16">
        <f t="shared" si="19"/>
        <v>19065790.949999999</v>
      </c>
      <c r="AK77" s="16">
        <f t="shared" si="19"/>
        <v>0</v>
      </c>
      <c r="AL77" s="16">
        <f t="shared" si="19"/>
        <v>0</v>
      </c>
      <c r="AM77" s="16">
        <f t="shared" si="19"/>
        <v>41425499.469999999</v>
      </c>
      <c r="AN77" s="16">
        <f t="shared" si="19"/>
        <v>23419685.98</v>
      </c>
      <c r="AO77" s="16">
        <f t="shared" si="19"/>
        <v>0</v>
      </c>
      <c r="AP77" s="16">
        <f t="shared" si="19"/>
        <v>0</v>
      </c>
      <c r="AQ77" s="37"/>
      <c r="AR77" s="37"/>
    </row>
    <row r="78" spans="1:44" ht="42" customHeight="1" x14ac:dyDescent="0.25">
      <c r="A78" s="109" t="s">
        <v>9</v>
      </c>
      <c r="B78" s="132"/>
      <c r="C78" s="2">
        <f t="shared" si="18"/>
        <v>0</v>
      </c>
      <c r="D78" s="2">
        <f t="shared" si="18"/>
        <v>0</v>
      </c>
      <c r="E78" s="2">
        <f t="shared" si="18"/>
        <v>5781112.8999999994</v>
      </c>
      <c r="F78" s="2">
        <f t="shared" si="18"/>
        <v>0</v>
      </c>
      <c r="G78" s="2">
        <f t="shared" si="18"/>
        <v>841993.46</v>
      </c>
      <c r="H78" s="2">
        <f t="shared" si="18"/>
        <v>0</v>
      </c>
      <c r="I78" s="2">
        <f t="shared" si="18"/>
        <v>730672.66</v>
      </c>
      <c r="J78" s="2">
        <f t="shared" si="18"/>
        <v>0</v>
      </c>
      <c r="K78" s="2">
        <f t="shared" si="18"/>
        <v>907890.05999999994</v>
      </c>
      <c r="L78" s="2">
        <f t="shared" si="18"/>
        <v>0</v>
      </c>
      <c r="M78" s="2">
        <f t="shared" si="18"/>
        <v>596611.02</v>
      </c>
      <c r="N78" s="2">
        <f t="shared" si="18"/>
        <v>0</v>
      </c>
      <c r="O78" s="2">
        <f t="shared" si="18"/>
        <v>806056.14</v>
      </c>
      <c r="P78" s="2">
        <f t="shared" si="18"/>
        <v>0</v>
      </c>
      <c r="Q78" s="2">
        <f t="shared" si="18"/>
        <v>910579.46000000008</v>
      </c>
      <c r="R78" s="2">
        <f t="shared" si="18"/>
        <v>0</v>
      </c>
      <c r="S78" s="2">
        <f t="shared" si="18"/>
        <v>832315.84</v>
      </c>
      <c r="T78" s="2">
        <f t="shared" si="18"/>
        <v>0</v>
      </c>
      <c r="U78" s="2">
        <f t="shared" si="18"/>
        <v>786043.03</v>
      </c>
      <c r="V78" s="2">
        <f t="shared" si="18"/>
        <v>0</v>
      </c>
      <c r="W78" s="2">
        <f t="shared" si="18"/>
        <v>782576.37000000011</v>
      </c>
      <c r="X78" s="2">
        <f t="shared" si="18"/>
        <v>0</v>
      </c>
      <c r="Y78" s="2">
        <f t="shared" si="18"/>
        <v>4770499.5100000007</v>
      </c>
      <c r="Z78" s="2">
        <f t="shared" si="18"/>
        <v>0</v>
      </c>
      <c r="AA78" s="16">
        <f t="shared" si="18"/>
        <v>11517101.640000001</v>
      </c>
      <c r="AB78" s="16">
        <f t="shared" si="18"/>
        <v>0</v>
      </c>
      <c r="AC78" s="16">
        <f t="shared" si="18"/>
        <v>17564868.849999998</v>
      </c>
      <c r="AD78" s="16">
        <f t="shared" si="18"/>
        <v>11291466.59</v>
      </c>
      <c r="AE78" s="23">
        <f t="shared" si="19"/>
        <v>25972037.23</v>
      </c>
      <c r="AF78" s="23">
        <f t="shared" si="19"/>
        <v>12978010.970000001</v>
      </c>
      <c r="AG78" s="23">
        <f t="shared" si="19"/>
        <v>14772077.07</v>
      </c>
      <c r="AH78" s="23">
        <f t="shared" si="19"/>
        <v>1220473.1199999999</v>
      </c>
      <c r="AI78" s="16">
        <f t="shared" si="19"/>
        <v>19092310.379999999</v>
      </c>
      <c r="AJ78" s="16">
        <f t="shared" si="19"/>
        <v>9924703.2199999988</v>
      </c>
      <c r="AK78" s="16">
        <f t="shared" si="19"/>
        <v>0</v>
      </c>
      <c r="AL78" s="16">
        <f t="shared" si="19"/>
        <v>0</v>
      </c>
      <c r="AM78" s="16">
        <f t="shared" si="19"/>
        <v>14242590.59</v>
      </c>
      <c r="AN78" s="16">
        <f t="shared" si="19"/>
        <v>8560205.540000001</v>
      </c>
      <c r="AO78" s="16">
        <f t="shared" si="19"/>
        <v>0</v>
      </c>
      <c r="AP78" s="16">
        <f t="shared" si="19"/>
        <v>0</v>
      </c>
      <c r="AQ78" s="37"/>
      <c r="AR78" s="37"/>
    </row>
    <row r="79" spans="1:44" x14ac:dyDescent="0.25">
      <c r="A79" s="109" t="s">
        <v>10</v>
      </c>
      <c r="B79" s="132"/>
      <c r="C79" s="2">
        <f t="shared" ref="C79:Z79" si="20">C13+C20+C27+C34+C41+C48+C55+C62+C69+C72</f>
        <v>0</v>
      </c>
      <c r="D79" s="2">
        <f t="shared" si="20"/>
        <v>0</v>
      </c>
      <c r="E79" s="2">
        <f t="shared" si="20"/>
        <v>60461371.310000002</v>
      </c>
      <c r="F79" s="2">
        <f t="shared" si="20"/>
        <v>58245420.57</v>
      </c>
      <c r="G79" s="2">
        <f t="shared" si="20"/>
        <v>69929562.310000002</v>
      </c>
      <c r="H79" s="2">
        <f t="shared" si="20"/>
        <v>58525671.140000001</v>
      </c>
      <c r="I79" s="2">
        <f t="shared" si="20"/>
        <v>65526882.990000002</v>
      </c>
      <c r="J79" s="2">
        <f t="shared" si="20"/>
        <v>61624312.380000003</v>
      </c>
      <c r="K79" s="2">
        <f t="shared" si="20"/>
        <v>71721506.659999996</v>
      </c>
      <c r="L79" s="2">
        <f t="shared" si="20"/>
        <v>64774384.220000006</v>
      </c>
      <c r="M79" s="2">
        <f t="shared" si="20"/>
        <v>75480113.579999998</v>
      </c>
      <c r="N79" s="2">
        <f t="shared" si="20"/>
        <v>65031804.82</v>
      </c>
      <c r="O79" s="2">
        <f t="shared" si="20"/>
        <v>72791361.200000003</v>
      </c>
      <c r="P79" s="2">
        <f t="shared" si="20"/>
        <v>72572463.200000003</v>
      </c>
      <c r="Q79" s="2">
        <f t="shared" si="20"/>
        <v>72380297.609999999</v>
      </c>
      <c r="R79" s="2">
        <f t="shared" si="20"/>
        <v>65383680.850000001</v>
      </c>
      <c r="S79" s="2">
        <f t="shared" si="20"/>
        <v>72695876.399999991</v>
      </c>
      <c r="T79" s="2">
        <f t="shared" si="20"/>
        <v>65850024.600000001</v>
      </c>
      <c r="U79" s="2">
        <f t="shared" si="20"/>
        <v>69041659.049999997</v>
      </c>
      <c r="V79" s="2">
        <f t="shared" si="20"/>
        <v>68852972.399999991</v>
      </c>
      <c r="W79" s="2">
        <f t="shared" si="20"/>
        <v>65102023.400000006</v>
      </c>
      <c r="X79" s="2">
        <f t="shared" si="20"/>
        <v>64910950.400000006</v>
      </c>
      <c r="Y79" s="2">
        <f t="shared" si="20"/>
        <v>66208215.299999997</v>
      </c>
      <c r="Z79" s="2">
        <f t="shared" si="20"/>
        <v>65394874.099999994</v>
      </c>
      <c r="AA79" s="16">
        <f t="shared" si="18"/>
        <v>14182522.93</v>
      </c>
      <c r="AB79" s="16">
        <f t="shared" si="18"/>
        <v>12430432.640000001</v>
      </c>
      <c r="AC79" s="16">
        <f t="shared" si="18"/>
        <v>21845555.419999998</v>
      </c>
      <c r="AD79" s="16">
        <f t="shared" si="18"/>
        <v>20453326.48</v>
      </c>
      <c r="AE79" s="23">
        <f t="shared" si="19"/>
        <v>8512543.2200000007</v>
      </c>
      <c r="AF79" s="23">
        <f t="shared" si="19"/>
        <v>93556.36</v>
      </c>
      <c r="AG79" s="23">
        <f t="shared" si="19"/>
        <v>7493731.0800000001</v>
      </c>
      <c r="AH79" s="23">
        <f t="shared" si="19"/>
        <v>0</v>
      </c>
      <c r="AI79" s="16">
        <f t="shared" si="19"/>
        <v>6592704.9900000012</v>
      </c>
      <c r="AJ79" s="16">
        <f t="shared" si="19"/>
        <v>92285.57</v>
      </c>
      <c r="AK79" s="16">
        <f t="shared" si="19"/>
        <v>5647572.7300000004</v>
      </c>
      <c r="AL79" s="16">
        <f t="shared" si="19"/>
        <v>0</v>
      </c>
      <c r="AM79" s="16">
        <f t="shared" si="19"/>
        <v>6837630.0499999998</v>
      </c>
      <c r="AN79" s="16">
        <f t="shared" si="19"/>
        <v>85795.03</v>
      </c>
      <c r="AO79" s="16">
        <f t="shared" si="19"/>
        <v>3541062.04</v>
      </c>
      <c r="AP79" s="16">
        <f t="shared" si="19"/>
        <v>0</v>
      </c>
      <c r="AQ79" s="37"/>
      <c r="AR79" s="37"/>
    </row>
    <row r="80" spans="1:44" ht="30" customHeight="1" x14ac:dyDescent="0.25">
      <c r="A80" s="109" t="s">
        <v>16</v>
      </c>
      <c r="B80" s="132"/>
      <c r="C80" s="2">
        <f>C14+C21+C28+C35+C42+C49+C56+C63+C70</f>
        <v>0</v>
      </c>
      <c r="D80" s="2">
        <f>D14+D21+D28+D35+D42+D49+D56+D63+D70</f>
        <v>0</v>
      </c>
      <c r="E80" s="2">
        <f t="shared" si="18"/>
        <v>1669019.14</v>
      </c>
      <c r="F80" s="2">
        <f t="shared" si="18"/>
        <v>1882435.7999999998</v>
      </c>
      <c r="G80" s="2">
        <f t="shared" si="18"/>
        <v>1912163.48</v>
      </c>
      <c r="H80" s="2">
        <f t="shared" si="18"/>
        <v>1882435.8</v>
      </c>
      <c r="I80" s="2">
        <f t="shared" si="18"/>
        <v>1912257.9000000001</v>
      </c>
      <c r="J80" s="2">
        <f t="shared" si="18"/>
        <v>1882435.8</v>
      </c>
      <c r="K80" s="2">
        <f t="shared" si="18"/>
        <v>1882435.8</v>
      </c>
      <c r="L80" s="2">
        <f t="shared" si="18"/>
        <v>1882435.8</v>
      </c>
      <c r="M80" s="2">
        <f t="shared" si="18"/>
        <v>1882435.8</v>
      </c>
      <c r="N80" s="2">
        <f t="shared" si="18"/>
        <v>1882435.8</v>
      </c>
      <c r="O80" s="2">
        <f t="shared" si="18"/>
        <v>1918227.3900000001</v>
      </c>
      <c r="P80" s="2">
        <f t="shared" si="18"/>
        <v>1882435.8</v>
      </c>
      <c r="Q80" s="2">
        <f t="shared" si="18"/>
        <v>1914435.79</v>
      </c>
      <c r="R80" s="2">
        <f t="shared" si="18"/>
        <v>1882435.8</v>
      </c>
      <c r="S80" s="2">
        <f t="shared" si="18"/>
        <v>1914497.09</v>
      </c>
      <c r="T80" s="2">
        <f t="shared" si="18"/>
        <v>1882435.8</v>
      </c>
      <c r="U80" s="2">
        <f t="shared" si="18"/>
        <v>1917459.72</v>
      </c>
      <c r="V80" s="2">
        <f t="shared" si="18"/>
        <v>1882435.8</v>
      </c>
      <c r="W80" s="2">
        <f t="shared" si="18"/>
        <v>1904985.28</v>
      </c>
      <c r="X80" s="2">
        <f t="shared" si="18"/>
        <v>1882435.8</v>
      </c>
      <c r="Y80" s="2">
        <f t="shared" si="18"/>
        <v>30983920.480000004</v>
      </c>
      <c r="Z80" s="2">
        <f t="shared" si="18"/>
        <v>30913688.039999999</v>
      </c>
      <c r="AA80" s="16">
        <f t="shared" si="18"/>
        <v>4406576.5</v>
      </c>
      <c r="AB80" s="16">
        <f t="shared" si="18"/>
        <v>2369961.35</v>
      </c>
      <c r="AC80" s="16">
        <f t="shared" si="18"/>
        <v>40352793.869999997</v>
      </c>
      <c r="AD80" s="16">
        <f t="shared" si="18"/>
        <v>38134374.859999999</v>
      </c>
      <c r="AE80" s="23">
        <f t="shared" si="19"/>
        <v>33550836.390000001</v>
      </c>
      <c r="AF80" s="23">
        <f t="shared" si="19"/>
        <v>1362588.5</v>
      </c>
      <c r="AG80" s="23">
        <f t="shared" si="19"/>
        <v>31200607.219999999</v>
      </c>
      <c r="AH80" s="23">
        <f t="shared" si="19"/>
        <v>660120.76</v>
      </c>
      <c r="AI80" s="16">
        <f t="shared" si="19"/>
        <v>7870302.5999999996</v>
      </c>
      <c r="AJ80" s="16">
        <f t="shared" si="19"/>
        <v>2860480.3600000003</v>
      </c>
      <c r="AK80" s="16">
        <f t="shared" si="19"/>
        <v>5005157.24</v>
      </c>
      <c r="AL80" s="16">
        <f t="shared" si="19"/>
        <v>0</v>
      </c>
      <c r="AM80" s="16">
        <f t="shared" si="19"/>
        <v>2167429.33</v>
      </c>
      <c r="AN80" s="16">
        <f t="shared" si="19"/>
        <v>2162764.33</v>
      </c>
      <c r="AO80" s="16">
        <f t="shared" si="19"/>
        <v>0</v>
      </c>
      <c r="AP80" s="16">
        <f t="shared" si="19"/>
        <v>0</v>
      </c>
      <c r="AQ80" s="37"/>
      <c r="AR80" s="37"/>
    </row>
    <row r="81" spans="1:44" ht="27.75" customHeight="1" x14ac:dyDescent="0.25">
      <c r="A81" s="133" t="s">
        <v>20</v>
      </c>
      <c r="B81" s="132"/>
      <c r="C81" s="3">
        <v>19700824</v>
      </c>
      <c r="D81" s="3"/>
      <c r="E81" s="3">
        <v>30646350</v>
      </c>
      <c r="F81" s="3"/>
      <c r="G81" s="3">
        <v>30646350</v>
      </c>
      <c r="H81" s="3"/>
      <c r="I81" s="3">
        <v>30646350</v>
      </c>
      <c r="J81" s="3"/>
      <c r="K81" s="3">
        <v>30646350</v>
      </c>
      <c r="L81" s="3"/>
      <c r="M81" s="3">
        <v>30646350</v>
      </c>
      <c r="N81" s="3"/>
      <c r="O81" s="3">
        <v>30646350</v>
      </c>
      <c r="P81" s="3"/>
      <c r="Q81" s="3">
        <v>30646350</v>
      </c>
      <c r="R81" s="3"/>
      <c r="S81" s="3">
        <v>39646350</v>
      </c>
      <c r="T81" s="3"/>
      <c r="U81" s="3">
        <v>39646350</v>
      </c>
      <c r="V81" s="3"/>
      <c r="W81" s="3">
        <v>39646350</v>
      </c>
      <c r="X81" s="3"/>
      <c r="Y81" s="3">
        <v>39592849</v>
      </c>
      <c r="Z81" s="3"/>
      <c r="AA81" s="22">
        <v>43884741</v>
      </c>
      <c r="AB81" s="18"/>
      <c r="AC81" s="22">
        <v>38729175</v>
      </c>
      <c r="AD81" s="18"/>
      <c r="AE81" s="3">
        <v>15529000</v>
      </c>
      <c r="AF81" s="18"/>
      <c r="AG81" s="18"/>
      <c r="AH81" s="18"/>
      <c r="AI81" s="22">
        <v>1250000</v>
      </c>
      <c r="AJ81" s="22"/>
      <c r="AK81" s="22"/>
      <c r="AL81" s="22"/>
      <c r="AM81" s="22">
        <v>1250000</v>
      </c>
      <c r="AN81" s="22"/>
      <c r="AO81" s="22"/>
      <c r="AP81" s="22"/>
      <c r="AQ81" s="37"/>
      <c r="AR81" s="37"/>
    </row>
    <row r="82" spans="1:44" x14ac:dyDescent="0.25">
      <c r="A82" s="133" t="s">
        <v>21</v>
      </c>
      <c r="B82" s="132"/>
      <c r="C82" s="3">
        <f t="shared" ref="C82:AA82" si="21">C75+C81</f>
        <v>114288501.81999999</v>
      </c>
      <c r="D82" s="3">
        <f t="shared" si="21"/>
        <v>68008770.719999999</v>
      </c>
      <c r="E82" s="3">
        <f t="shared" si="21"/>
        <v>116511079.75999999</v>
      </c>
      <c r="F82" s="3">
        <f t="shared" si="21"/>
        <v>66510808.209999993</v>
      </c>
      <c r="G82" s="3">
        <f t="shared" si="21"/>
        <v>124157416.09000002</v>
      </c>
      <c r="H82" s="3">
        <f t="shared" si="21"/>
        <v>66963948.660000004</v>
      </c>
      <c r="I82" s="3">
        <f t="shared" si="21"/>
        <v>123086498.88000001</v>
      </c>
      <c r="J82" s="3">
        <f t="shared" si="21"/>
        <v>69371696.100000009</v>
      </c>
      <c r="K82" s="3">
        <f t="shared" si="21"/>
        <v>124338367.95999999</v>
      </c>
      <c r="L82" s="3">
        <f t="shared" si="21"/>
        <v>72494645.030000001</v>
      </c>
      <c r="M82" s="3">
        <f t="shared" si="21"/>
        <v>125996638.34</v>
      </c>
      <c r="N82" s="3">
        <f t="shared" si="21"/>
        <v>74699098.340000004</v>
      </c>
      <c r="O82" s="3">
        <f t="shared" si="21"/>
        <v>123599288.27</v>
      </c>
      <c r="P82" s="3">
        <f t="shared" si="21"/>
        <v>82357876.220000014</v>
      </c>
      <c r="Q82" s="3">
        <f t="shared" si="21"/>
        <v>128095881.20999998</v>
      </c>
      <c r="R82" s="3">
        <f t="shared" si="21"/>
        <v>74441297.569999993</v>
      </c>
      <c r="S82" s="3">
        <f t="shared" si="21"/>
        <v>136401625.49000001</v>
      </c>
      <c r="T82" s="3">
        <f t="shared" si="21"/>
        <v>74719949.890000001</v>
      </c>
      <c r="U82" s="3">
        <f t="shared" si="21"/>
        <v>136999081.71999997</v>
      </c>
      <c r="V82" s="3">
        <f t="shared" si="21"/>
        <v>74918061.669999987</v>
      </c>
      <c r="W82" s="3">
        <f t="shared" si="21"/>
        <v>143078032.53</v>
      </c>
      <c r="X82" s="3">
        <f t="shared" si="21"/>
        <v>71550048.36999999</v>
      </c>
      <c r="Y82" s="3">
        <f t="shared" si="21"/>
        <v>179105676.16999999</v>
      </c>
      <c r="Z82" s="3">
        <f t="shared" si="21"/>
        <v>116277638.82999998</v>
      </c>
      <c r="AA82" s="22">
        <f t="shared" si="21"/>
        <v>180677679.08000001</v>
      </c>
      <c r="AB82" s="22">
        <f>AB75+AB81</f>
        <v>43344897.469999999</v>
      </c>
      <c r="AC82" s="22">
        <f t="shared" ref="AC82:AP82" si="22">AC75+AC81</f>
        <v>249815793.58000001</v>
      </c>
      <c r="AD82" s="22">
        <f t="shared" si="22"/>
        <v>119975047.31999999</v>
      </c>
      <c r="AE82" s="3">
        <f t="shared" si="22"/>
        <v>225591888.64999998</v>
      </c>
      <c r="AF82" s="3">
        <f t="shared" si="22"/>
        <v>99495187.609999999</v>
      </c>
      <c r="AG82" s="3">
        <f t="shared" si="22"/>
        <v>86313931.799999982</v>
      </c>
      <c r="AH82" s="3">
        <f t="shared" si="22"/>
        <v>23141374.309999999</v>
      </c>
      <c r="AI82" s="22">
        <f t="shared" si="22"/>
        <v>130196217.90000001</v>
      </c>
      <c r="AJ82" s="22">
        <f t="shared" si="22"/>
        <v>32163242.649999999</v>
      </c>
      <c r="AK82" s="22">
        <f t="shared" si="22"/>
        <v>14429840.109999999</v>
      </c>
      <c r="AL82" s="22">
        <f t="shared" si="22"/>
        <v>0</v>
      </c>
      <c r="AM82" s="22">
        <f t="shared" si="22"/>
        <v>133607192.22</v>
      </c>
      <c r="AN82" s="22">
        <f t="shared" si="22"/>
        <v>35176559.539999999</v>
      </c>
      <c r="AO82" s="22">
        <f t="shared" si="22"/>
        <v>7161405.8499999996</v>
      </c>
      <c r="AP82" s="22">
        <f t="shared" si="22"/>
        <v>0</v>
      </c>
      <c r="AQ82" s="36">
        <f>AM82/AI82-1</f>
        <v>2.619872047757843E-2</v>
      </c>
      <c r="AR82" s="36">
        <f>AO82/AK82-1</f>
        <v>-0.50370857920753498</v>
      </c>
    </row>
    <row r="83" spans="1:44" x14ac:dyDescent="0.25">
      <c r="A83" s="109" t="s">
        <v>22</v>
      </c>
      <c r="B83" s="13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1:44" x14ac:dyDescent="0.25">
      <c r="A84" s="109" t="s">
        <v>27</v>
      </c>
      <c r="B84" s="132"/>
      <c r="C84" s="4">
        <v>102575991</v>
      </c>
      <c r="D84" s="4">
        <v>63430848.460000001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x14ac:dyDescent="0.25">
      <c r="A85" s="109" t="s">
        <v>26</v>
      </c>
      <c r="B85" s="132"/>
      <c r="C85" s="4">
        <f>C82-C84</f>
        <v>11712510.819999993</v>
      </c>
      <c r="D85" s="4">
        <f>D82-D84</f>
        <v>4577922.2599999979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ht="15.75" customHeight="1" x14ac:dyDescent="0.25">
      <c r="A86" s="109" t="s">
        <v>40</v>
      </c>
      <c r="B86" s="13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1">
        <v>2369961.35</v>
      </c>
      <c r="AB86" s="21">
        <v>2369961.35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</sheetData>
  <mergeCells count="452">
    <mergeCell ref="AM57:AM58"/>
    <mergeCell ref="AN57:AN58"/>
    <mergeCell ref="AO57:AO58"/>
    <mergeCell ref="AP57:AP58"/>
    <mergeCell ref="AM64:AM65"/>
    <mergeCell ref="AN64:AN65"/>
    <mergeCell ref="AO64:AO65"/>
    <mergeCell ref="AP64:AP65"/>
    <mergeCell ref="AM29:AM30"/>
    <mergeCell ref="AN29:AN30"/>
    <mergeCell ref="AO29:AO30"/>
    <mergeCell ref="AP29:AP30"/>
    <mergeCell ref="AM36:AM37"/>
    <mergeCell ref="AN36:AN37"/>
    <mergeCell ref="AO36:AO37"/>
    <mergeCell ref="AP36:AP37"/>
    <mergeCell ref="AM43:AM44"/>
    <mergeCell ref="AN43:AN44"/>
    <mergeCell ref="AO43:AO44"/>
    <mergeCell ref="AP43:AP44"/>
    <mergeCell ref="AM8:AM9"/>
    <mergeCell ref="AN8:AN9"/>
    <mergeCell ref="AO8:AO9"/>
    <mergeCell ref="AP8:AP9"/>
    <mergeCell ref="AM15:AM16"/>
    <mergeCell ref="AN15:AN16"/>
    <mergeCell ref="AO15:AO16"/>
    <mergeCell ref="AP15:AP16"/>
    <mergeCell ref="A84:B84"/>
    <mergeCell ref="A66:B66"/>
    <mergeCell ref="A67:B67"/>
    <mergeCell ref="A68:B68"/>
    <mergeCell ref="A69:B69"/>
    <mergeCell ref="A70:B70"/>
    <mergeCell ref="AI64:AI65"/>
    <mergeCell ref="AJ64:AJ65"/>
    <mergeCell ref="AK64:AK65"/>
    <mergeCell ref="AL64:AL65"/>
    <mergeCell ref="Q64:Q65"/>
    <mergeCell ref="R64:R65"/>
    <mergeCell ref="S64:S65"/>
    <mergeCell ref="T64:T65"/>
    <mergeCell ref="U64:U65"/>
    <mergeCell ref="V64:V65"/>
    <mergeCell ref="A85:B85"/>
    <mergeCell ref="A86:B86"/>
    <mergeCell ref="A78:B78"/>
    <mergeCell ref="A79:B79"/>
    <mergeCell ref="A80:B80"/>
    <mergeCell ref="A81:B81"/>
    <mergeCell ref="A82:B82"/>
    <mergeCell ref="A83:B83"/>
    <mergeCell ref="AR71:AR72"/>
    <mergeCell ref="A72:B72"/>
    <mergeCell ref="A73:B73"/>
    <mergeCell ref="A75:B75"/>
    <mergeCell ref="A76:B76"/>
    <mergeCell ref="A77:B77"/>
    <mergeCell ref="AQ71:AQ72"/>
    <mergeCell ref="AQ64:AQ65"/>
    <mergeCell ref="AR64:AR65"/>
    <mergeCell ref="AC64:AC65"/>
    <mergeCell ref="AD64:AD65"/>
    <mergeCell ref="AE64:AE65"/>
    <mergeCell ref="AF64:AF65"/>
    <mergeCell ref="AG64:AG65"/>
    <mergeCell ref="AH64:AH65"/>
    <mergeCell ref="Z64:Z65"/>
    <mergeCell ref="AA64:AA65"/>
    <mergeCell ref="AB64:AB65"/>
    <mergeCell ref="E64:E65"/>
    <mergeCell ref="F64:F65"/>
    <mergeCell ref="G64:G65"/>
    <mergeCell ref="H64:H65"/>
    <mergeCell ref="I64:I65"/>
    <mergeCell ref="J64:J65"/>
    <mergeCell ref="W64:W65"/>
    <mergeCell ref="X64:X65"/>
    <mergeCell ref="Y64:Y65"/>
    <mergeCell ref="A61:B61"/>
    <mergeCell ref="A62:B62"/>
    <mergeCell ref="A63:B63"/>
    <mergeCell ref="A64:B65"/>
    <mergeCell ref="C64:C65"/>
    <mergeCell ref="D64:D65"/>
    <mergeCell ref="AK57:AK58"/>
    <mergeCell ref="AL57:AL58"/>
    <mergeCell ref="AQ57:AQ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K64:K65"/>
    <mergeCell ref="L64:L65"/>
    <mergeCell ref="M64:M65"/>
    <mergeCell ref="N64:N65"/>
    <mergeCell ref="O64:O65"/>
    <mergeCell ref="P64:P65"/>
    <mergeCell ref="AR57:AR58"/>
    <mergeCell ref="A59:B59"/>
    <mergeCell ref="A60:B60"/>
    <mergeCell ref="AE57:AE58"/>
    <mergeCell ref="AF57:AF58"/>
    <mergeCell ref="AG57:AG58"/>
    <mergeCell ref="AH57:AH58"/>
    <mergeCell ref="AI57:AI58"/>
    <mergeCell ref="AJ57:AJ58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A56:B56"/>
    <mergeCell ref="A57:B58"/>
    <mergeCell ref="C57:C58"/>
    <mergeCell ref="D57:D58"/>
    <mergeCell ref="E57:E58"/>
    <mergeCell ref="F57:F58"/>
    <mergeCell ref="AQ50:AQ51"/>
    <mergeCell ref="AR50:AR51"/>
    <mergeCell ref="A52:B52"/>
    <mergeCell ref="A53:B53"/>
    <mergeCell ref="A54:B54"/>
    <mergeCell ref="A55:B55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A45:B45"/>
    <mergeCell ref="A46:B46"/>
    <mergeCell ref="A47:B47"/>
    <mergeCell ref="A48:B48"/>
    <mergeCell ref="A49:B49"/>
    <mergeCell ref="A50:B51"/>
    <mergeCell ref="AI43:AI44"/>
    <mergeCell ref="AJ43:AJ44"/>
    <mergeCell ref="AK43:AK44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H43:H44"/>
    <mergeCell ref="I43:I44"/>
    <mergeCell ref="J43:J44"/>
    <mergeCell ref="AL43:AL44"/>
    <mergeCell ref="AQ43:AQ44"/>
    <mergeCell ref="AR43:AR44"/>
    <mergeCell ref="AC43:AC44"/>
    <mergeCell ref="AD43:AD44"/>
    <mergeCell ref="AE43:AE44"/>
    <mergeCell ref="AF43:AF44"/>
    <mergeCell ref="AG43:AG44"/>
    <mergeCell ref="AH43:AH44"/>
    <mergeCell ref="A40:B40"/>
    <mergeCell ref="A41:B41"/>
    <mergeCell ref="A42:B42"/>
    <mergeCell ref="A43:B44"/>
    <mergeCell ref="C43:C44"/>
    <mergeCell ref="D43:D44"/>
    <mergeCell ref="AK36:AK37"/>
    <mergeCell ref="AL36:AL37"/>
    <mergeCell ref="AQ36:AQ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N43:N44"/>
    <mergeCell ref="O43:O44"/>
    <mergeCell ref="P43:P44"/>
    <mergeCell ref="E43:E44"/>
    <mergeCell ref="F43:F44"/>
    <mergeCell ref="G43:G44"/>
    <mergeCell ref="AR36:AR37"/>
    <mergeCell ref="A38:B38"/>
    <mergeCell ref="A39:B39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A35:B35"/>
    <mergeCell ref="A36:B37"/>
    <mergeCell ref="C36:C37"/>
    <mergeCell ref="D36:D37"/>
    <mergeCell ref="E36:E37"/>
    <mergeCell ref="F36:F37"/>
    <mergeCell ref="AQ29:AQ30"/>
    <mergeCell ref="AR29:AR30"/>
    <mergeCell ref="A31:B31"/>
    <mergeCell ref="A32:B32"/>
    <mergeCell ref="A33:B33"/>
    <mergeCell ref="A34:B34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A24:B24"/>
    <mergeCell ref="A25:B25"/>
    <mergeCell ref="A26:B26"/>
    <mergeCell ref="A27:B27"/>
    <mergeCell ref="A28:B28"/>
    <mergeCell ref="A29:B30"/>
    <mergeCell ref="AI22:AI23"/>
    <mergeCell ref="AJ22:AJ23"/>
    <mergeCell ref="AK22:AK23"/>
    <mergeCell ref="W22:W23"/>
    <mergeCell ref="X22:X23"/>
    <mergeCell ref="Y22:Y23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H22:H23"/>
    <mergeCell ref="I22:I23"/>
    <mergeCell ref="J22:J23"/>
    <mergeCell ref="AL22:AL23"/>
    <mergeCell ref="AQ22:AQ23"/>
    <mergeCell ref="AR22:AR23"/>
    <mergeCell ref="AC22:AC23"/>
    <mergeCell ref="AD22:AD23"/>
    <mergeCell ref="AE22:AE23"/>
    <mergeCell ref="AF22:AF23"/>
    <mergeCell ref="AG22:AG23"/>
    <mergeCell ref="AH22:AH23"/>
    <mergeCell ref="AM22:AM23"/>
    <mergeCell ref="AN22:AN23"/>
    <mergeCell ref="AO22:AO23"/>
    <mergeCell ref="AP22:AP23"/>
    <mergeCell ref="A19:B19"/>
    <mergeCell ref="A20:B20"/>
    <mergeCell ref="A21:B21"/>
    <mergeCell ref="A22:B23"/>
    <mergeCell ref="C22:C23"/>
    <mergeCell ref="D22:D23"/>
    <mergeCell ref="AK15:AK16"/>
    <mergeCell ref="AL15:AL16"/>
    <mergeCell ref="AQ15:AQ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N22:N23"/>
    <mergeCell ref="O22:O23"/>
    <mergeCell ref="P22:P23"/>
    <mergeCell ref="E22:E23"/>
    <mergeCell ref="F22:F23"/>
    <mergeCell ref="G22:G23"/>
    <mergeCell ref="AR15:AR16"/>
    <mergeCell ref="A17:B17"/>
    <mergeCell ref="A18:B18"/>
    <mergeCell ref="AE15:AE16"/>
    <mergeCell ref="AF15:AF16"/>
    <mergeCell ref="AG15:AG16"/>
    <mergeCell ref="AH15:AH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A14:B14"/>
    <mergeCell ref="A15:B16"/>
    <mergeCell ref="C15:C16"/>
    <mergeCell ref="D15:D16"/>
    <mergeCell ref="E15:E16"/>
    <mergeCell ref="F15:F16"/>
    <mergeCell ref="AQ8:AQ9"/>
    <mergeCell ref="AR8:AR9"/>
    <mergeCell ref="A10:B10"/>
    <mergeCell ref="A11:B11"/>
    <mergeCell ref="A12:B12"/>
    <mergeCell ref="A13:B13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8:B9"/>
    <mergeCell ref="C8:C9"/>
    <mergeCell ref="D8:D9"/>
    <mergeCell ref="E8:E9"/>
    <mergeCell ref="F8:F9"/>
    <mergeCell ref="G8:G9"/>
    <mergeCell ref="H8:H9"/>
    <mergeCell ref="S5:T6"/>
    <mergeCell ref="U5:V6"/>
    <mergeCell ref="I8:I9"/>
    <mergeCell ref="J8:J9"/>
    <mergeCell ref="K8:K9"/>
    <mergeCell ref="L8:L9"/>
    <mergeCell ref="M8:M9"/>
    <mergeCell ref="N8:N9"/>
    <mergeCell ref="U8:U9"/>
    <mergeCell ref="V8:V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E5:AH6"/>
    <mergeCell ref="AI5:AL6"/>
    <mergeCell ref="AQ5:AR6"/>
    <mergeCell ref="W5:X6"/>
    <mergeCell ref="Y5:Z6"/>
    <mergeCell ref="AA5:AB6"/>
    <mergeCell ref="AC5:AD6"/>
    <mergeCell ref="AM5:AP6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86"/>
  <sheetViews>
    <sheetView workbookViewId="0">
      <selection activeCell="AC25" sqref="AC25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42" width="14" customWidth="1"/>
    <col min="44" max="44" width="11.5703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43525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11" t="s">
        <v>6</v>
      </c>
      <c r="AR7" s="11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49420974.609999999</v>
      </c>
      <c r="AN8" s="120">
        <f>AN10+AN11+AN12+AN13+AN14</f>
        <v>302980.67</v>
      </c>
      <c r="AO8" s="120">
        <f>AO10+AO11+AO12+AO13+AO14</f>
        <v>0</v>
      </c>
      <c r="AP8" s="120">
        <f>AP10+AP11+AP12+AP13+AP14</f>
        <v>0</v>
      </c>
      <c r="AQ8" s="116">
        <f>AM8/AI8-1</f>
        <v>0.16741310735165804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v>44301273.93</v>
      </c>
      <c r="AN10" s="19">
        <v>8393.48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v>3648440.42</v>
      </c>
      <c r="AN11" s="19">
        <v>207157.58</v>
      </c>
      <c r="AO11" s="19"/>
      <c r="AP11" s="19"/>
      <c r="AQ11" s="34"/>
      <c r="AR11" s="34"/>
    </row>
    <row r="12" spans="1:44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v>1471260.26</v>
      </c>
      <c r="AN13" s="19">
        <v>87429.61</v>
      </c>
      <c r="AO13" s="19"/>
      <c r="AP13" s="19"/>
      <c r="AQ13" s="34"/>
      <c r="AR13" s="34"/>
    </row>
    <row r="14" spans="1:44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2"/>
      <c r="AN14" s="12"/>
      <c r="AO14" s="12"/>
      <c r="AP14" s="12"/>
      <c r="AQ14" s="39"/>
      <c r="AR14" s="39"/>
    </row>
    <row r="15" spans="1:44" x14ac:dyDescent="0.25">
      <c r="A15" s="111" t="s">
        <v>1</v>
      </c>
      <c r="B15" s="112"/>
      <c r="C15" s="115">
        <f>SUM(C17:C21)</f>
        <v>0</v>
      </c>
      <c r="D15" s="115">
        <f>SUM(D17:D21)</f>
        <v>0</v>
      </c>
      <c r="E15" s="115">
        <f t="shared" ref="E15:AD15" si="1">SUM(E17:E21)</f>
        <v>35747.5</v>
      </c>
      <c r="F15" s="115">
        <f t="shared" si="1"/>
        <v>0</v>
      </c>
      <c r="G15" s="115">
        <f t="shared" si="1"/>
        <v>0</v>
      </c>
      <c r="H15" s="115">
        <f t="shared" si="1"/>
        <v>0</v>
      </c>
      <c r="I15" s="115">
        <f t="shared" si="1"/>
        <v>0</v>
      </c>
      <c r="J15" s="115">
        <f t="shared" si="1"/>
        <v>0</v>
      </c>
      <c r="K15" s="115">
        <f t="shared" si="1"/>
        <v>120756.41</v>
      </c>
      <c r="L15" s="115">
        <f t="shared" si="1"/>
        <v>0</v>
      </c>
      <c r="M15" s="115">
        <f t="shared" si="1"/>
        <v>144077.24</v>
      </c>
      <c r="N15" s="115">
        <f t="shared" si="1"/>
        <v>0</v>
      </c>
      <c r="O15" s="115">
        <f t="shared" si="1"/>
        <v>122267.09</v>
      </c>
      <c r="P15" s="115">
        <f t="shared" si="1"/>
        <v>0</v>
      </c>
      <c r="Q15" s="115">
        <f t="shared" si="1"/>
        <v>81760.240000000005</v>
      </c>
      <c r="R15" s="115">
        <f t="shared" si="1"/>
        <v>0</v>
      </c>
      <c r="S15" s="115">
        <f t="shared" si="1"/>
        <v>68067.33</v>
      </c>
      <c r="T15" s="115">
        <f t="shared" si="1"/>
        <v>0</v>
      </c>
      <c r="U15" s="115">
        <f t="shared" si="1"/>
        <v>61711.68</v>
      </c>
      <c r="V15" s="115">
        <f t="shared" si="1"/>
        <v>0</v>
      </c>
      <c r="W15" s="115">
        <f t="shared" si="1"/>
        <v>0</v>
      </c>
      <c r="X15" s="115">
        <f t="shared" si="1"/>
        <v>0</v>
      </c>
      <c r="Y15" s="115">
        <f t="shared" si="1"/>
        <v>217.78</v>
      </c>
      <c r="Z15" s="115">
        <f t="shared" si="1"/>
        <v>0</v>
      </c>
      <c r="AA15" s="128">
        <f t="shared" si="1"/>
        <v>187710.37</v>
      </c>
      <c r="AB15" s="128">
        <f t="shared" si="1"/>
        <v>0</v>
      </c>
      <c r="AC15" s="128">
        <f t="shared" si="1"/>
        <v>333233.98</v>
      </c>
      <c r="AD15" s="128">
        <f t="shared" si="1"/>
        <v>0</v>
      </c>
      <c r="AE15" s="126">
        <f t="shared" ref="AE15:AL15" si="2">AE17+AE18+AE19+AE20+AE21</f>
        <v>667959.52</v>
      </c>
      <c r="AF15" s="126">
        <f t="shared" si="2"/>
        <v>0</v>
      </c>
      <c r="AG15" s="126">
        <f t="shared" si="2"/>
        <v>94034.71</v>
      </c>
      <c r="AH15" s="126">
        <f t="shared" si="2"/>
        <v>0</v>
      </c>
      <c r="AI15" s="122">
        <f t="shared" si="2"/>
        <v>797761.55</v>
      </c>
      <c r="AJ15" s="122">
        <f t="shared" si="2"/>
        <v>0</v>
      </c>
      <c r="AK15" s="122">
        <v>0</v>
      </c>
      <c r="AL15" s="122">
        <f t="shared" si="2"/>
        <v>0</v>
      </c>
      <c r="AM15" s="122">
        <f>AM17+AM18+AM19+AM20+AM21</f>
        <v>1039455.8500000001</v>
      </c>
      <c r="AN15" s="122">
        <f>AN17+AN18+AN19+AN20+AN21</f>
        <v>0</v>
      </c>
      <c r="AO15" s="122">
        <f>AO17+AO18+AO19+AO20+AO21</f>
        <v>0</v>
      </c>
      <c r="AP15" s="122">
        <f>AP17+AP18+AP19+AP20+AP21</f>
        <v>0</v>
      </c>
      <c r="AQ15" s="116">
        <f>AM15/AI15-1</f>
        <v>0.30296559166081649</v>
      </c>
      <c r="AR15" s="116" t="e">
        <f>AO15/AK15-1</f>
        <v>#DIV/0!</v>
      </c>
    </row>
    <row r="16" spans="1:44" x14ac:dyDescent="0.25">
      <c r="A16" s="113"/>
      <c r="B16" s="114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25"/>
      <c r="AB16" s="125"/>
      <c r="AC16" s="125"/>
      <c r="AD16" s="125"/>
      <c r="AE16" s="127"/>
      <c r="AF16" s="127"/>
      <c r="AG16" s="127"/>
      <c r="AH16" s="127"/>
      <c r="AI16" s="123"/>
      <c r="AJ16" s="123"/>
      <c r="AK16" s="123"/>
      <c r="AL16" s="123"/>
      <c r="AM16" s="123"/>
      <c r="AN16" s="123"/>
      <c r="AO16" s="123"/>
      <c r="AP16" s="123"/>
      <c r="AQ16" s="117"/>
      <c r="AR16" s="117"/>
    </row>
    <row r="17" spans="1:47" ht="43.5" customHeight="1" x14ac:dyDescent="0.25">
      <c r="A17" s="109" t="s">
        <v>11</v>
      </c>
      <c r="B17" s="110"/>
      <c r="C17" s="2"/>
      <c r="D17" s="2"/>
      <c r="E17" s="2">
        <v>35747.5</v>
      </c>
      <c r="F17" s="2"/>
      <c r="G17" s="2"/>
      <c r="H17" s="2"/>
      <c r="I17" s="2"/>
      <c r="J17" s="2"/>
      <c r="K17" s="2">
        <v>120756.41</v>
      </c>
      <c r="L17" s="2"/>
      <c r="M17" s="2">
        <v>144077.24</v>
      </c>
      <c r="N17" s="2"/>
      <c r="O17" s="2">
        <v>122267.09</v>
      </c>
      <c r="P17" s="2"/>
      <c r="Q17" s="2">
        <v>67770.240000000005</v>
      </c>
      <c r="R17" s="2"/>
      <c r="S17" s="2">
        <f>65281.19+2786.14</f>
        <v>68067.33</v>
      </c>
      <c r="T17" s="2"/>
      <c r="U17" s="2">
        <v>61711.68</v>
      </c>
      <c r="V17" s="2"/>
      <c r="W17" s="2"/>
      <c r="X17" s="2"/>
      <c r="Y17" s="2">
        <v>217.78</v>
      </c>
      <c r="Z17" s="2"/>
      <c r="AA17" s="16">
        <v>35</v>
      </c>
      <c r="AB17" s="16"/>
      <c r="AC17" s="16">
        <f>27611.35+117602.07</f>
        <v>145213.42000000001</v>
      </c>
      <c r="AD17" s="13"/>
      <c r="AE17" s="23">
        <f>56332.86+251324.18</f>
        <v>307657.03999999998</v>
      </c>
      <c r="AF17" s="13"/>
      <c r="AG17" s="23">
        <f>3600+90434.71</f>
        <v>94034.71</v>
      </c>
      <c r="AH17" s="23"/>
      <c r="AI17" s="16">
        <f>30567.15+190377.23</f>
        <v>220944.38</v>
      </c>
      <c r="AJ17" s="16"/>
      <c r="AK17" s="16"/>
      <c r="AL17" s="16"/>
      <c r="AM17" s="16">
        <f>70742.82+562710.93</f>
        <v>633453.75</v>
      </c>
      <c r="AN17" s="16"/>
      <c r="AO17" s="16"/>
      <c r="AP17" s="16"/>
      <c r="AQ17" s="24"/>
      <c r="AR17" s="24"/>
    </row>
    <row r="18" spans="1:47" ht="15.75" customHeight="1" x14ac:dyDescent="0.25">
      <c r="A18" s="109" t="s">
        <v>8</v>
      </c>
      <c r="B18" s="1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6">
        <v>172262.37</v>
      </c>
      <c r="AB18" s="16"/>
      <c r="AC18" s="16">
        <v>188020.56</v>
      </c>
      <c r="AD18" s="13"/>
      <c r="AE18" s="23">
        <v>225161</v>
      </c>
      <c r="AF18" s="13"/>
      <c r="AG18" s="13"/>
      <c r="AH18" s="13"/>
      <c r="AI18" s="16">
        <v>372715</v>
      </c>
      <c r="AJ18" s="16"/>
      <c r="AK18" s="16"/>
      <c r="AL18" s="16"/>
      <c r="AM18" s="16">
        <v>293895.3</v>
      </c>
      <c r="AN18" s="16"/>
      <c r="AO18" s="16"/>
      <c r="AP18" s="16"/>
      <c r="AQ18" s="24"/>
      <c r="AR18" s="24"/>
    </row>
    <row r="19" spans="1:47" ht="43.5" customHeight="1" x14ac:dyDescent="0.25">
      <c r="A19" s="109" t="s">
        <v>9</v>
      </c>
      <c r="B19" s="1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6"/>
      <c r="AB19" s="16"/>
      <c r="AC19" s="13"/>
      <c r="AD19" s="13"/>
      <c r="AE19" s="23"/>
      <c r="AF19" s="13"/>
      <c r="AG19" s="13"/>
      <c r="AH19" s="13"/>
      <c r="AI19" s="16"/>
      <c r="AJ19" s="16"/>
      <c r="AK19" s="16"/>
      <c r="AL19" s="16"/>
      <c r="AM19" s="16"/>
      <c r="AN19" s="16"/>
      <c r="AO19" s="16"/>
      <c r="AP19" s="16"/>
      <c r="AQ19" s="24"/>
      <c r="AR19" s="24"/>
    </row>
    <row r="20" spans="1:47" ht="18" customHeight="1" x14ac:dyDescent="0.25">
      <c r="A20" s="109" t="s">
        <v>10</v>
      </c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13990</v>
      </c>
      <c r="R20" s="2"/>
      <c r="S20" s="2"/>
      <c r="T20" s="2"/>
      <c r="U20" s="2"/>
      <c r="V20" s="2"/>
      <c r="W20" s="2"/>
      <c r="X20" s="2"/>
      <c r="Y20" s="2"/>
      <c r="Z20" s="2"/>
      <c r="AA20" s="16">
        <v>15413</v>
      </c>
      <c r="AB20" s="16"/>
      <c r="AC20" s="13"/>
      <c r="AD20" s="13"/>
      <c r="AE20" s="23">
        <v>135141.48000000001</v>
      </c>
      <c r="AF20" s="13"/>
      <c r="AG20" s="13"/>
      <c r="AH20" s="13"/>
      <c r="AI20" s="16">
        <v>204102.17</v>
      </c>
      <c r="AJ20" s="16"/>
      <c r="AK20" s="16"/>
      <c r="AL20" s="16"/>
      <c r="AM20" s="16">
        <v>112106.8</v>
      </c>
      <c r="AN20" s="16"/>
      <c r="AO20" s="16"/>
      <c r="AP20" s="16"/>
      <c r="AQ20" s="24"/>
      <c r="AR20" s="24"/>
    </row>
    <row r="21" spans="1:47" ht="30.75" customHeight="1" x14ac:dyDescent="0.25">
      <c r="A21" s="109" t="s">
        <v>16</v>
      </c>
      <c r="B21" s="1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6"/>
      <c r="AB21" s="16"/>
      <c r="AC21" s="13"/>
      <c r="AD21" s="13"/>
      <c r="AE21" s="13"/>
      <c r="AF21" s="13"/>
      <c r="AG21" s="13"/>
      <c r="AH21" s="13"/>
      <c r="AI21" s="16"/>
      <c r="AJ21" s="16"/>
      <c r="AK21" s="16"/>
      <c r="AL21" s="16"/>
      <c r="AM21" s="16"/>
      <c r="AN21" s="16"/>
      <c r="AO21" s="16"/>
      <c r="AP21" s="16"/>
      <c r="AQ21" s="24"/>
      <c r="AR21" s="24"/>
    </row>
    <row r="22" spans="1:47" x14ac:dyDescent="0.25">
      <c r="A22" s="111" t="s">
        <v>2</v>
      </c>
      <c r="B22" s="112"/>
      <c r="C22" s="115">
        <v>54846675.530000001</v>
      </c>
      <c r="D22" s="115">
        <v>48940486.590000004</v>
      </c>
      <c r="E22" s="115">
        <f>SUM(E24:E28)</f>
        <v>64656891.350000001</v>
      </c>
      <c r="F22" s="115">
        <f>SUM(F24:F28)</f>
        <v>51440732.669999994</v>
      </c>
      <c r="G22" s="115">
        <f t="shared" ref="G22:AD22" si="3">SUM(G24:G28)</f>
        <v>69207433.140000001</v>
      </c>
      <c r="H22" s="115">
        <f t="shared" si="3"/>
        <v>50454846.649999999</v>
      </c>
      <c r="I22" s="115">
        <f t="shared" si="3"/>
        <v>70742852.230000004</v>
      </c>
      <c r="J22" s="115">
        <f t="shared" si="3"/>
        <v>55024116.890000001</v>
      </c>
      <c r="K22" s="115">
        <f t="shared" si="3"/>
        <v>70605066.099999994</v>
      </c>
      <c r="L22" s="115">
        <f t="shared" si="3"/>
        <v>57943952.730000004</v>
      </c>
      <c r="M22" s="115">
        <f t="shared" si="3"/>
        <v>73371785.549999997</v>
      </c>
      <c r="N22" s="115">
        <f t="shared" si="3"/>
        <v>57519633.82</v>
      </c>
      <c r="O22" s="115">
        <f t="shared" si="3"/>
        <v>69857012.25</v>
      </c>
      <c r="P22" s="115">
        <f t="shared" si="3"/>
        <v>65548817.789999999</v>
      </c>
      <c r="Q22" s="115">
        <f t="shared" si="3"/>
        <v>71509757.569999993</v>
      </c>
      <c r="R22" s="115">
        <f t="shared" si="3"/>
        <v>57862859.439999998</v>
      </c>
      <c r="S22" s="115">
        <f t="shared" si="3"/>
        <v>71486946.959999993</v>
      </c>
      <c r="T22" s="115">
        <f t="shared" si="3"/>
        <v>57789918.439999998</v>
      </c>
      <c r="U22" s="115">
        <f t="shared" si="3"/>
        <v>70592079.479999989</v>
      </c>
      <c r="V22" s="115">
        <f t="shared" si="3"/>
        <v>61579945.239999995</v>
      </c>
      <c r="W22" s="115">
        <f t="shared" si="3"/>
        <v>66866461.460000001</v>
      </c>
      <c r="X22" s="115">
        <f t="shared" si="3"/>
        <v>57735277.960000001</v>
      </c>
      <c r="Y22" s="115">
        <f t="shared" si="3"/>
        <v>103038065.23999999</v>
      </c>
      <c r="Z22" s="115">
        <f t="shared" si="3"/>
        <v>90836160.789999992</v>
      </c>
      <c r="AA22" s="128">
        <f t="shared" si="3"/>
        <v>56387437.119999997</v>
      </c>
      <c r="AB22" s="128">
        <f t="shared" si="3"/>
        <v>15533763.189999999</v>
      </c>
      <c r="AC22" s="128">
        <f t="shared" si="3"/>
        <v>119943838.53</v>
      </c>
      <c r="AD22" s="128">
        <f t="shared" si="3"/>
        <v>72448338.349999994</v>
      </c>
      <c r="AE22" s="126">
        <f t="shared" ref="AE22:AL22" si="4">AE24+AE25+AE26+AE27+AE28</f>
        <v>98597337.969999999</v>
      </c>
      <c r="AF22" s="126">
        <f t="shared" si="4"/>
        <v>28249113.57</v>
      </c>
      <c r="AG22" s="126">
        <f t="shared" si="4"/>
        <v>52538002.529999994</v>
      </c>
      <c r="AH22" s="126">
        <f t="shared" si="4"/>
        <v>0</v>
      </c>
      <c r="AI22" s="122">
        <f t="shared" si="4"/>
        <v>63217359.389999993</v>
      </c>
      <c r="AJ22" s="122">
        <f t="shared" si="4"/>
        <v>27862807.449999999</v>
      </c>
      <c r="AK22" s="122">
        <f t="shared" si="4"/>
        <v>9411597.2899999991</v>
      </c>
      <c r="AL22" s="122">
        <f t="shared" si="4"/>
        <v>0</v>
      </c>
      <c r="AM22" s="122">
        <f>AM24+AM25+AM26+AM27+AM28</f>
        <v>52973314.449999996</v>
      </c>
      <c r="AN22" s="122">
        <f>AN24+AN25+AN26+AN27+AN28</f>
        <v>27830606.359999999</v>
      </c>
      <c r="AO22" s="122">
        <f>AO24+AO25+AO26+AO27+AO28</f>
        <v>4943925.0399999991</v>
      </c>
      <c r="AP22" s="122">
        <f>AP24+AP25+AP26+AP27+AP28</f>
        <v>0</v>
      </c>
      <c r="AQ22" s="116">
        <f>AM22/AI22-1</f>
        <v>-0.16204480919240116</v>
      </c>
      <c r="AR22" s="116">
        <f>AO22/AK22-1</f>
        <v>-0.47469862047189237</v>
      </c>
    </row>
    <row r="23" spans="1:47" ht="12" customHeight="1" x14ac:dyDescent="0.25">
      <c r="A23" s="113"/>
      <c r="B23" s="11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25"/>
      <c r="AB23" s="125"/>
      <c r="AC23" s="125"/>
      <c r="AD23" s="125"/>
      <c r="AE23" s="127"/>
      <c r="AF23" s="127"/>
      <c r="AG23" s="127"/>
      <c r="AH23" s="127"/>
      <c r="AI23" s="123"/>
      <c r="AJ23" s="123"/>
      <c r="AK23" s="123"/>
      <c r="AL23" s="123"/>
      <c r="AM23" s="123"/>
      <c r="AN23" s="123"/>
      <c r="AO23" s="123"/>
      <c r="AP23" s="123"/>
      <c r="AQ23" s="117"/>
      <c r="AR23" s="117"/>
    </row>
    <row r="24" spans="1:47" ht="43.5" customHeight="1" x14ac:dyDescent="0.25">
      <c r="A24" s="109" t="s">
        <v>11</v>
      </c>
      <c r="B24" s="110"/>
      <c r="C24" s="2"/>
      <c r="D24" s="2"/>
      <c r="E24" s="2">
        <v>10110055.9</v>
      </c>
      <c r="F24" s="2">
        <f>51442088.62-49312861.59</f>
        <v>2129227.0299999937</v>
      </c>
      <c r="G24" s="2">
        <v>10146692.35</v>
      </c>
      <c r="H24" s="2">
        <v>2129227.0299999998</v>
      </c>
      <c r="I24" s="2">
        <v>14616479.76</v>
      </c>
      <c r="J24" s="2">
        <v>2129227.0299999998</v>
      </c>
      <c r="K24" s="2">
        <v>7843217.96</v>
      </c>
      <c r="L24" s="2">
        <v>2129227.0299999998</v>
      </c>
      <c r="M24" s="2">
        <v>7533070</v>
      </c>
      <c r="N24" s="2">
        <v>2129227.0299999998</v>
      </c>
      <c r="O24" s="2">
        <v>6652443.1100000003</v>
      </c>
      <c r="P24" s="2">
        <v>2344248.65</v>
      </c>
      <c r="Q24" s="2">
        <f>8677372.77+42645.25</f>
        <v>8720018.0199999996</v>
      </c>
      <c r="R24" s="2">
        <f>2344248.65</f>
        <v>2344248.65</v>
      </c>
      <c r="S24" s="2">
        <f>69747.65+9218096.72</f>
        <v>9287844.370000001</v>
      </c>
      <c r="T24" s="2">
        <v>2271307.65</v>
      </c>
      <c r="U24" s="2">
        <f>94170.06+10964271.83</f>
        <v>11058441.890000001</v>
      </c>
      <c r="V24" s="2">
        <f>2046307.65</f>
        <v>2046307.65</v>
      </c>
      <c r="W24" s="2">
        <f>11194823.81+98358.34</f>
        <v>11293182.15</v>
      </c>
      <c r="X24" s="2">
        <f>2161998.65</f>
        <v>2161998.65</v>
      </c>
      <c r="Y24" s="2">
        <v>13594212.15</v>
      </c>
      <c r="Z24" s="2">
        <v>4751435.4800000004</v>
      </c>
      <c r="AA24" s="16">
        <f>77325.12+12375433.35</f>
        <v>12452758.469999999</v>
      </c>
      <c r="AB24" s="16">
        <v>1634678.03</v>
      </c>
      <c r="AC24" s="16">
        <f>263374.33+25371454.14</f>
        <v>25634828.469999999</v>
      </c>
      <c r="AD24" s="16">
        <v>7111498.0199999996</v>
      </c>
      <c r="AE24" s="23">
        <f>361338.29+22200823.79</f>
        <v>22562162.079999998</v>
      </c>
      <c r="AF24" s="23">
        <v>1203080.3799999999</v>
      </c>
      <c r="AG24" s="23">
        <f>223320.42+7979287.52</f>
        <v>8202607.9399999995</v>
      </c>
      <c r="AH24" s="13"/>
      <c r="AI24" s="16">
        <f>58898.5+5757823.28+84105.04+8232493.31</f>
        <v>14133320.129999999</v>
      </c>
      <c r="AJ24" s="16">
        <f>58898.5+84105.04</f>
        <v>143003.53999999998</v>
      </c>
      <c r="AK24" s="16">
        <v>1077110.1399999999</v>
      </c>
      <c r="AL24" s="16"/>
      <c r="AM24" s="16">
        <f>265779.56+6939682.12+216058.84+6483997.02</f>
        <v>13905517.539999999</v>
      </c>
      <c r="AN24" s="16">
        <f>265779.56+216058.84</f>
        <v>481838.4</v>
      </c>
      <c r="AO24" s="16">
        <v>994778.19</v>
      </c>
      <c r="AP24" s="16"/>
      <c r="AQ24" s="24"/>
      <c r="AR24" s="24"/>
      <c r="AU24" s="30"/>
    </row>
    <row r="25" spans="1:47" ht="18" customHeight="1" x14ac:dyDescent="0.25">
      <c r="A25" s="109" t="s">
        <v>8</v>
      </c>
      <c r="B25" s="1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>
        <f>774524.11+20097533.72</f>
        <v>20872057.829999998</v>
      </c>
      <c r="AB25" s="16"/>
      <c r="AC25" s="16">
        <f>815882.11+24539657.77</f>
        <v>25355539.879999999</v>
      </c>
      <c r="AD25" s="16"/>
      <c r="AE25" s="23">
        <f>826423.25+23317982.32</f>
        <v>24144405.57</v>
      </c>
      <c r="AF25" s="23">
        <v>16922780.550000001</v>
      </c>
      <c r="AG25" s="23"/>
      <c r="AH25" s="13"/>
      <c r="AI25" s="16">
        <f>6636427.13+2761581.99+10175763.76+5190667.21</f>
        <v>24764440.090000004</v>
      </c>
      <c r="AJ25" s="16">
        <f>6636427.13+10175763.76</f>
        <v>16812190.890000001</v>
      </c>
      <c r="AK25" s="16"/>
      <c r="AL25" s="16"/>
      <c r="AM25" s="16">
        <f>6646170.81+2055430.67+12104571+924162.28</f>
        <v>21730334.760000002</v>
      </c>
      <c r="AN25" s="16">
        <f>6646170.81+12104571</f>
        <v>18750741.809999999</v>
      </c>
      <c r="AO25" s="16"/>
      <c r="AP25" s="16"/>
      <c r="AQ25" s="24"/>
      <c r="AR25" s="24"/>
    </row>
    <row r="26" spans="1:47" ht="44.25" customHeight="1" x14ac:dyDescent="0.25">
      <c r="A26" s="109" t="s">
        <v>9</v>
      </c>
      <c r="B26" s="110"/>
      <c r="C26" s="2"/>
      <c r="D26" s="2"/>
      <c r="E26" s="2">
        <v>4317281.3899999997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3356790.95</v>
      </c>
      <c r="Z26" s="2"/>
      <c r="AA26" s="16">
        <f>511757.59+6814505.62</f>
        <v>7326263.21</v>
      </c>
      <c r="AB26" s="16"/>
      <c r="AC26" s="16">
        <f>484038.54+11956133.92</f>
        <v>12440172.459999999</v>
      </c>
      <c r="AD26" s="16">
        <v>10626588</v>
      </c>
      <c r="AE26" s="23">
        <f>871920.5+16450579.56</f>
        <v>17322500.060000002</v>
      </c>
      <c r="AF26" s="23">
        <v>10123252.640000001</v>
      </c>
      <c r="AG26" s="23">
        <f>353493.68+11501508.54</f>
        <v>11855002.219999999</v>
      </c>
      <c r="AH26" s="13"/>
      <c r="AI26" s="16">
        <f>4846101.83+2549979.72+3834472.6+2522828.53</f>
        <v>13753382.68</v>
      </c>
      <c r="AJ26" s="16">
        <f>4846101.83+3834472.6</f>
        <v>8680574.4299999997</v>
      </c>
      <c r="AK26" s="16"/>
      <c r="AL26" s="16"/>
      <c r="AM26" s="16">
        <f>1025341.58+1610404.87+5479765.2+1138886.34</f>
        <v>9254397.9900000002</v>
      </c>
      <c r="AN26" s="16">
        <f>1025341.58+5479765.2</f>
        <v>6505106.7800000003</v>
      </c>
      <c r="AO26" s="16"/>
      <c r="AP26" s="16"/>
      <c r="AQ26" s="24"/>
      <c r="AR26" s="24"/>
    </row>
    <row r="27" spans="1:47" ht="16.899999999999999" customHeight="1" x14ac:dyDescent="0.25">
      <c r="A27" s="109" t="s">
        <v>10</v>
      </c>
      <c r="B27" s="110"/>
      <c r="C27" s="2"/>
      <c r="D27" s="2"/>
      <c r="E27" s="2">
        <v>50229554.060000002</v>
      </c>
      <c r="F27" s="2">
        <v>49311505.640000001</v>
      </c>
      <c r="G27" s="2">
        <f>54914409.14+4146331.65</f>
        <v>59060740.789999999</v>
      </c>
      <c r="H27" s="2">
        <f>4092516+44233103.62</f>
        <v>48325619.619999997</v>
      </c>
      <c r="I27" s="2">
        <f>4125519+52000853.47</f>
        <v>56126372.469999999</v>
      </c>
      <c r="J27" s="2">
        <f>4092516+48802373.86</f>
        <v>52894889.859999999</v>
      </c>
      <c r="K27" s="2">
        <f>4106722+58655126.14</f>
        <v>62761848.140000001</v>
      </c>
      <c r="L27" s="2">
        <f>4092516+51722209.7</f>
        <v>55814725.700000003</v>
      </c>
      <c r="M27" s="2">
        <f>3726327.65+62112387.9</f>
        <v>65838715.549999997</v>
      </c>
      <c r="N27" s="2">
        <f>51679075.14+3711331.65</f>
        <v>55390406.789999999</v>
      </c>
      <c r="O27" s="2">
        <f>3292052+59912517.14</f>
        <v>63204569.140000001</v>
      </c>
      <c r="P27" s="2">
        <f>3292052+59912517.14</f>
        <v>63204569.140000001</v>
      </c>
      <c r="Q27" s="2">
        <f>59493077.9+3296661.65</f>
        <v>62789739.549999997</v>
      </c>
      <c r="R27" s="2">
        <f>3296661.65+52221949.14</f>
        <v>55518610.789999999</v>
      </c>
      <c r="S27" s="2">
        <f>58887656.94+3311445.65</f>
        <v>62199102.589999996</v>
      </c>
      <c r="T27" s="2">
        <f>3296661.65+52221949.14</f>
        <v>55518610.789999999</v>
      </c>
      <c r="U27" s="2">
        <f>56222191.94+3311445.65</f>
        <v>59533637.589999996</v>
      </c>
      <c r="V27" s="2">
        <f>3311445.65+56222191.94</f>
        <v>59533637.589999996</v>
      </c>
      <c r="W27" s="2">
        <f>1281078.35+54292200.96</f>
        <v>55573279.310000002</v>
      </c>
      <c r="X27" s="2">
        <f>54292200.96+1281078.35</f>
        <v>55573279.310000002</v>
      </c>
      <c r="Y27" s="2">
        <v>55305512.479999997</v>
      </c>
      <c r="Z27" s="2">
        <v>55305512.479999997</v>
      </c>
      <c r="AA27" s="16">
        <v>12430432.640000001</v>
      </c>
      <c r="AB27" s="16">
        <v>12430432.640000001</v>
      </c>
      <c r="AC27" s="16">
        <v>19001954.52</v>
      </c>
      <c r="AD27" s="16">
        <v>19001954.52</v>
      </c>
      <c r="AE27" s="23">
        <f>8958+7347927.08</f>
        <v>7356885.0800000001</v>
      </c>
      <c r="AF27" s="13"/>
      <c r="AG27" s="23">
        <f>8958+6907494.08</f>
        <v>6916452.0800000001</v>
      </c>
      <c r="AH27" s="13"/>
      <c r="AI27" s="16">
        <f>2101880.84+3050643.64</f>
        <v>5152524.4800000004</v>
      </c>
      <c r="AJ27" s="16"/>
      <c r="AK27" s="16">
        <f>2101856.09+3050642.64</f>
        <v>5152498.7300000004</v>
      </c>
      <c r="AL27" s="16"/>
      <c r="AM27" s="16">
        <f>3662313.09+2327831.7</f>
        <v>5990144.79</v>
      </c>
      <c r="AN27" s="16"/>
      <c r="AO27" s="16">
        <f>2420760.09+1528386.76</f>
        <v>3949146.8499999996</v>
      </c>
      <c r="AP27" s="16"/>
      <c r="AQ27" s="24" t="s">
        <v>42</v>
      </c>
      <c r="AR27" s="24"/>
    </row>
    <row r="28" spans="1:47" ht="31.5" customHeight="1" x14ac:dyDescent="0.25">
      <c r="A28" s="109" t="s">
        <v>16</v>
      </c>
      <c r="B28" s="1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30781549.66</v>
      </c>
      <c r="Z28" s="2">
        <v>30779212.829999998</v>
      </c>
      <c r="AA28" s="16">
        <f>3305399.51+525.46</f>
        <v>3305924.9699999997</v>
      </c>
      <c r="AB28" s="16">
        <v>1468652.52</v>
      </c>
      <c r="AC28" s="16">
        <f>37418429.35+92913.85</f>
        <v>37511343.200000003</v>
      </c>
      <c r="AD28" s="16">
        <v>35708297.810000002</v>
      </c>
      <c r="AE28" s="23">
        <f>27144292.69+67092.49</f>
        <v>27211385.18</v>
      </c>
      <c r="AF28" s="13"/>
      <c r="AG28" s="23">
        <v>25563940.289999999</v>
      </c>
      <c r="AH28" s="13"/>
      <c r="AI28" s="16">
        <f>5363159.41+45867.6+4665</f>
        <v>5413692.0099999998</v>
      </c>
      <c r="AJ28" s="16">
        <f>45867.6+2181170.99</f>
        <v>2227038.5900000003</v>
      </c>
      <c r="AK28" s="16">
        <v>3181988.42</v>
      </c>
      <c r="AL28" s="16"/>
      <c r="AM28" s="16">
        <v>2092919.37</v>
      </c>
      <c r="AN28" s="16">
        <v>2092919.37</v>
      </c>
      <c r="AO28" s="16"/>
      <c r="AP28" s="16"/>
      <c r="AQ28" s="24"/>
      <c r="AR28" s="24"/>
    </row>
    <row r="29" spans="1:47" x14ac:dyDescent="0.25">
      <c r="A29" s="111" t="s">
        <v>3</v>
      </c>
      <c r="B29" s="112"/>
      <c r="C29" s="115">
        <v>-7680.14</v>
      </c>
      <c r="D29" s="115">
        <f>SUM(D31:D35)</f>
        <v>0</v>
      </c>
      <c r="E29" s="115">
        <f t="shared" ref="E29:AD29" si="5">SUM(E31:E35)</f>
        <v>0</v>
      </c>
      <c r="F29" s="115">
        <f t="shared" si="5"/>
        <v>0</v>
      </c>
      <c r="G29" s="115">
        <f t="shared" si="5"/>
        <v>114426.95</v>
      </c>
      <c r="H29" s="115">
        <f t="shared" si="5"/>
        <v>0</v>
      </c>
      <c r="I29" s="115">
        <f t="shared" si="5"/>
        <v>88290.77</v>
      </c>
      <c r="J29" s="115">
        <f t="shared" si="5"/>
        <v>0</v>
      </c>
      <c r="K29" s="115">
        <f t="shared" si="5"/>
        <v>51440.42</v>
      </c>
      <c r="L29" s="115">
        <f t="shared" si="5"/>
        <v>0</v>
      </c>
      <c r="M29" s="115">
        <f t="shared" si="5"/>
        <v>169857.58</v>
      </c>
      <c r="N29" s="115">
        <f t="shared" si="5"/>
        <v>0</v>
      </c>
      <c r="O29" s="115">
        <f t="shared" si="5"/>
        <v>77731.77</v>
      </c>
      <c r="P29" s="115">
        <f t="shared" si="5"/>
        <v>0</v>
      </c>
      <c r="Q29" s="115">
        <f t="shared" si="5"/>
        <v>55035.07</v>
      </c>
      <c r="R29" s="115">
        <f t="shared" si="5"/>
        <v>0</v>
      </c>
      <c r="S29" s="115">
        <f t="shared" si="5"/>
        <v>80513.679999999993</v>
      </c>
      <c r="T29" s="115">
        <f t="shared" si="5"/>
        <v>0</v>
      </c>
      <c r="U29" s="115">
        <f t="shared" si="5"/>
        <v>77945.259999999995</v>
      </c>
      <c r="V29" s="115">
        <f t="shared" si="5"/>
        <v>0</v>
      </c>
      <c r="W29" s="115">
        <f t="shared" si="5"/>
        <v>84064.9</v>
      </c>
      <c r="X29" s="115">
        <f t="shared" si="5"/>
        <v>0</v>
      </c>
      <c r="Y29" s="115">
        <f t="shared" si="5"/>
        <v>0</v>
      </c>
      <c r="Z29" s="115">
        <f t="shared" si="5"/>
        <v>0</v>
      </c>
      <c r="AA29" s="128">
        <f t="shared" si="5"/>
        <v>663721.94999999995</v>
      </c>
      <c r="AB29" s="128">
        <f t="shared" si="5"/>
        <v>0</v>
      </c>
      <c r="AC29" s="128">
        <f t="shared" si="5"/>
        <v>856387.40999999992</v>
      </c>
      <c r="AD29" s="128">
        <f t="shared" si="5"/>
        <v>0</v>
      </c>
      <c r="AE29" s="126">
        <f t="shared" ref="AE29:AL29" si="6">AE31+AE32+AE33+AE34+AE35</f>
        <v>807619</v>
      </c>
      <c r="AF29" s="126">
        <f t="shared" si="6"/>
        <v>0</v>
      </c>
      <c r="AG29" s="126">
        <f t="shared" si="6"/>
        <v>0</v>
      </c>
      <c r="AH29" s="126">
        <f t="shared" si="6"/>
        <v>0</v>
      </c>
      <c r="AI29" s="122">
        <f t="shared" si="6"/>
        <v>1745805.9500000002</v>
      </c>
      <c r="AJ29" s="122">
        <f t="shared" si="6"/>
        <v>0</v>
      </c>
      <c r="AK29" s="122">
        <v>0</v>
      </c>
      <c r="AL29" s="122">
        <f t="shared" si="6"/>
        <v>0</v>
      </c>
      <c r="AM29" s="122">
        <f>AM31+AM32+AM33+AM34+AM35</f>
        <v>1091249.73</v>
      </c>
      <c r="AN29" s="122">
        <f>AN31+AN32+AN33+AN34+AN35</f>
        <v>0</v>
      </c>
      <c r="AO29" s="122">
        <f>AO31+AO32+AO33+AO34+AO35</f>
        <v>0</v>
      </c>
      <c r="AP29" s="122">
        <f>AP31+AP32+AP33+AP34+AP35</f>
        <v>0</v>
      </c>
      <c r="AQ29" s="116">
        <f>AM29/AI29-1</f>
        <v>-0.37493068459298129</v>
      </c>
      <c r="AR29" s="116" t="e">
        <f>AO29/AK29-1</f>
        <v>#DIV/0!</v>
      </c>
    </row>
    <row r="30" spans="1:47" x14ac:dyDescent="0.25">
      <c r="A30" s="113"/>
      <c r="B30" s="11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5"/>
      <c r="AB30" s="125"/>
      <c r="AC30" s="125"/>
      <c r="AD30" s="125"/>
      <c r="AE30" s="127"/>
      <c r="AF30" s="127"/>
      <c r="AG30" s="127"/>
      <c r="AH30" s="127"/>
      <c r="AI30" s="123"/>
      <c r="AJ30" s="123"/>
      <c r="AK30" s="123"/>
      <c r="AL30" s="123"/>
      <c r="AM30" s="123"/>
      <c r="AN30" s="123"/>
      <c r="AO30" s="123"/>
      <c r="AP30" s="123"/>
      <c r="AQ30" s="117"/>
      <c r="AR30" s="117"/>
    </row>
    <row r="31" spans="1:47" ht="43.5" customHeight="1" x14ac:dyDescent="0.25">
      <c r="A31" s="109" t="s">
        <v>11</v>
      </c>
      <c r="B31" s="110"/>
      <c r="C31" s="2">
        <v>0</v>
      </c>
      <c r="D31" s="2"/>
      <c r="E31" s="2">
        <v>0</v>
      </c>
      <c r="F31" s="2"/>
      <c r="G31" s="2">
        <v>114426.95</v>
      </c>
      <c r="H31" s="2"/>
      <c r="I31" s="2">
        <v>88290.77</v>
      </c>
      <c r="J31" s="2"/>
      <c r="K31" s="2">
        <v>51440.42</v>
      </c>
      <c r="L31" s="2"/>
      <c r="M31" s="2">
        <v>169857.58</v>
      </c>
      <c r="N31" s="2"/>
      <c r="O31" s="2">
        <v>77731.77</v>
      </c>
      <c r="P31" s="2"/>
      <c r="Q31" s="2">
        <v>55035.07</v>
      </c>
      <c r="R31" s="2"/>
      <c r="S31" s="2">
        <v>80513.679999999993</v>
      </c>
      <c r="T31" s="2"/>
      <c r="U31" s="2">
        <v>77945.259999999995</v>
      </c>
      <c r="V31" s="2"/>
      <c r="W31" s="2">
        <v>84064.9</v>
      </c>
      <c r="X31" s="2"/>
      <c r="Y31" s="2"/>
      <c r="Z31" s="2"/>
      <c r="AA31" s="16">
        <v>4839.6099999999997</v>
      </c>
      <c r="AB31" s="16"/>
      <c r="AC31" s="16">
        <v>85242.16</v>
      </c>
      <c r="AD31" s="13"/>
      <c r="AE31" s="23">
        <v>172973.85</v>
      </c>
      <c r="AF31" s="23"/>
      <c r="AG31" s="23"/>
      <c r="AH31" s="23"/>
      <c r="AI31" s="16">
        <f>72200.43+5275.44</f>
        <v>77475.87</v>
      </c>
      <c r="AJ31" s="16"/>
      <c r="AK31" s="16"/>
      <c r="AL31" s="16"/>
      <c r="AM31" s="16">
        <f>144124.8+4581.78</f>
        <v>148706.57999999999</v>
      </c>
      <c r="AN31" s="16"/>
      <c r="AO31" s="16"/>
      <c r="AP31" s="16"/>
      <c r="AQ31" s="24"/>
      <c r="AR31" s="24"/>
    </row>
    <row r="32" spans="1:47" ht="18.600000000000001" customHeight="1" x14ac:dyDescent="0.25">
      <c r="A32" s="109" t="s">
        <v>8</v>
      </c>
      <c r="B32" s="1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>
        <v>446550.73</v>
      </c>
      <c r="AB32" s="16"/>
      <c r="AC32" s="16">
        <v>451706.16</v>
      </c>
      <c r="AD32" s="13"/>
      <c r="AE32" s="23">
        <v>291019.77</v>
      </c>
      <c r="AF32" s="23"/>
      <c r="AG32" s="23"/>
      <c r="AH32" s="23"/>
      <c r="AI32" s="16">
        <f>696234.36+399212.22</f>
        <v>1095446.58</v>
      </c>
      <c r="AJ32" s="16"/>
      <c r="AK32" s="16"/>
      <c r="AL32" s="16"/>
      <c r="AM32" s="16">
        <f>357671.2+246380</f>
        <v>604051.19999999995</v>
      </c>
      <c r="AN32" s="16"/>
      <c r="AO32" s="16"/>
      <c r="AP32" s="16"/>
      <c r="AQ32" s="24"/>
      <c r="AR32" s="24"/>
    </row>
    <row r="33" spans="1:44" x14ac:dyDescent="0.25">
      <c r="A33" s="109" t="s">
        <v>9</v>
      </c>
      <c r="B33" s="110"/>
      <c r="C33" s="2">
        <v>0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23"/>
      <c r="AC33" s="16"/>
      <c r="AD33" s="13"/>
      <c r="AE33" s="23"/>
      <c r="AF33" s="23"/>
      <c r="AG33" s="23"/>
      <c r="AH33" s="23"/>
      <c r="AI33" s="16"/>
      <c r="AJ33" s="16"/>
      <c r="AK33" s="16"/>
      <c r="AL33" s="16"/>
      <c r="AM33" s="16"/>
      <c r="AN33" s="16"/>
      <c r="AO33" s="16"/>
      <c r="AP33" s="16"/>
      <c r="AQ33" s="24"/>
      <c r="AR33" s="24"/>
    </row>
    <row r="34" spans="1:44" x14ac:dyDescent="0.25">
      <c r="A34" s="109" t="s">
        <v>10</v>
      </c>
      <c r="B34" s="1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>
        <v>212331.61</v>
      </c>
      <c r="AB34" s="16"/>
      <c r="AC34" s="16">
        <v>319439.09000000003</v>
      </c>
      <c r="AD34" s="13"/>
      <c r="AE34" s="23">
        <v>343625.38</v>
      </c>
      <c r="AF34" s="23"/>
      <c r="AG34" s="23"/>
      <c r="AH34" s="23"/>
      <c r="AI34" s="16">
        <f>340695.57+232187.93</f>
        <v>572883.5</v>
      </c>
      <c r="AJ34" s="16"/>
      <c r="AK34" s="16"/>
      <c r="AL34" s="16"/>
      <c r="AM34" s="16">
        <f>125330+213161.95</f>
        <v>338491.95</v>
      </c>
      <c r="AN34" s="16"/>
      <c r="AO34" s="16"/>
      <c r="AP34" s="16"/>
      <c r="AQ34" s="24"/>
      <c r="AR34" s="24"/>
    </row>
    <row r="35" spans="1:44" x14ac:dyDescent="0.25">
      <c r="A35" s="109" t="s">
        <v>16</v>
      </c>
      <c r="B35" s="1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/>
      <c r="AB35" s="13"/>
      <c r="AC35" s="13"/>
      <c r="AD35" s="13"/>
      <c r="AE35" s="13"/>
      <c r="AF35" s="13"/>
      <c r="AG35" s="13"/>
      <c r="AH35" s="13"/>
      <c r="AI35" s="16"/>
      <c r="AJ35" s="16"/>
      <c r="AK35" s="16"/>
      <c r="AL35" s="16"/>
      <c r="AM35" s="13"/>
      <c r="AN35" s="13"/>
      <c r="AO35" s="13"/>
      <c r="AP35" s="13"/>
      <c r="AQ35" s="31"/>
      <c r="AR35" s="31"/>
    </row>
    <row r="36" spans="1:44" x14ac:dyDescent="0.25">
      <c r="A36" s="111" t="s">
        <v>19</v>
      </c>
      <c r="B36" s="112"/>
      <c r="C36" s="115">
        <v>24738.76</v>
      </c>
      <c r="D36" s="115">
        <f t="shared" ref="D36:Z36" si="7">SUM(D38:D42)</f>
        <v>0</v>
      </c>
      <c r="E36" s="115">
        <f t="shared" si="7"/>
        <v>162585.41</v>
      </c>
      <c r="F36" s="115">
        <f t="shared" si="7"/>
        <v>0</v>
      </c>
      <c r="G36" s="115">
        <f t="shared" si="7"/>
        <v>2836261.8599999994</v>
      </c>
      <c r="H36" s="115">
        <f t="shared" si="7"/>
        <v>179639.45</v>
      </c>
      <c r="I36" s="115">
        <f t="shared" si="7"/>
        <v>2968161.5</v>
      </c>
      <c r="J36" s="115">
        <f t="shared" si="7"/>
        <v>179639.45</v>
      </c>
      <c r="K36" s="115">
        <f t="shared" si="7"/>
        <v>3579888.6599999997</v>
      </c>
      <c r="L36" s="115">
        <f t="shared" si="7"/>
        <v>179639.45</v>
      </c>
      <c r="M36" s="115">
        <f t="shared" si="7"/>
        <v>2288254.44</v>
      </c>
      <c r="N36" s="115">
        <f t="shared" si="7"/>
        <v>179639.45</v>
      </c>
      <c r="O36" s="115">
        <f t="shared" si="7"/>
        <v>2699902.61</v>
      </c>
      <c r="P36" s="115">
        <f t="shared" si="7"/>
        <v>179639.45</v>
      </c>
      <c r="Q36" s="115">
        <f t="shared" si="7"/>
        <v>2782603.59</v>
      </c>
      <c r="R36" s="115">
        <f t="shared" si="7"/>
        <v>179639.45</v>
      </c>
      <c r="S36" s="115">
        <f t="shared" si="7"/>
        <v>2615855.7999999998</v>
      </c>
      <c r="T36" s="115">
        <f t="shared" si="7"/>
        <v>179639.45</v>
      </c>
      <c r="U36" s="115">
        <f t="shared" si="7"/>
        <v>2483055.5499999998</v>
      </c>
      <c r="V36" s="115">
        <f t="shared" si="7"/>
        <v>142806.04</v>
      </c>
      <c r="W36" s="115">
        <f t="shared" si="7"/>
        <v>2680559.16</v>
      </c>
      <c r="X36" s="115">
        <f t="shared" si="7"/>
        <v>142806.04</v>
      </c>
      <c r="Y36" s="115">
        <f t="shared" si="7"/>
        <v>79878.12999999999</v>
      </c>
      <c r="Z36" s="115">
        <f t="shared" si="7"/>
        <v>0</v>
      </c>
      <c r="AA36" s="128">
        <f>SUM(AA38:AA42)</f>
        <v>2592606.9299999997</v>
      </c>
      <c r="AB36" s="128">
        <f>SUM(AB38:AB42)</f>
        <v>0</v>
      </c>
      <c r="AC36" s="128">
        <f>SUM(AC38:AC42)</f>
        <v>4410926.9800000004</v>
      </c>
      <c r="AD36" s="128">
        <f>SUM(AD38:AD42)</f>
        <v>1508980.59</v>
      </c>
      <c r="AE36" s="126">
        <f t="shared" ref="AE36:AJ36" si="8">AE38+AE39+AE40+AE41+AE42</f>
        <v>6043790.8399999999</v>
      </c>
      <c r="AF36" s="126">
        <f t="shared" si="8"/>
        <v>5996669.2400000002</v>
      </c>
      <c r="AG36" s="126">
        <f t="shared" si="8"/>
        <v>1880593.8800000001</v>
      </c>
      <c r="AH36" s="126">
        <f t="shared" si="8"/>
        <v>1880593.88</v>
      </c>
      <c r="AI36" s="122">
        <f t="shared" si="8"/>
        <v>4401686.4800000004</v>
      </c>
      <c r="AJ36" s="122">
        <f t="shared" si="8"/>
        <v>4300435.1999999993</v>
      </c>
      <c r="AK36" s="122">
        <v>0</v>
      </c>
      <c r="AL36" s="122">
        <v>0</v>
      </c>
      <c r="AM36" s="122">
        <f>AM38+AM39+AM40+AM41+AM42</f>
        <v>5463821.6399999987</v>
      </c>
      <c r="AN36" s="122">
        <f>AN38+AN39+AN40+AN41+AN42</f>
        <v>5359617.0599999996</v>
      </c>
      <c r="AO36" s="122">
        <f>AO38+AO39+AO40+AO41+AO42</f>
        <v>0</v>
      </c>
      <c r="AP36" s="122">
        <f>AP38+AP39+AP40+AP41+AP42</f>
        <v>0</v>
      </c>
      <c r="AQ36" s="116">
        <f>AM36/AI36-1</f>
        <v>0.24130186573397161</v>
      </c>
      <c r="AR36" s="116" t="e">
        <f>AO36/AK36-1</f>
        <v>#DIV/0!</v>
      </c>
    </row>
    <row r="37" spans="1:44" x14ac:dyDescent="0.25">
      <c r="A37" s="113"/>
      <c r="B37" s="11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5"/>
      <c r="AB37" s="125"/>
      <c r="AC37" s="125"/>
      <c r="AD37" s="125"/>
      <c r="AE37" s="127"/>
      <c r="AF37" s="127"/>
      <c r="AG37" s="127"/>
      <c r="AH37" s="127"/>
      <c r="AI37" s="123"/>
      <c r="AJ37" s="123"/>
      <c r="AK37" s="123"/>
      <c r="AL37" s="123"/>
      <c r="AM37" s="123"/>
      <c r="AN37" s="123"/>
      <c r="AO37" s="123"/>
      <c r="AP37" s="123"/>
      <c r="AQ37" s="117"/>
      <c r="AR37" s="117"/>
    </row>
    <row r="38" spans="1:44" x14ac:dyDescent="0.25">
      <c r="A38" s="109" t="s">
        <v>11</v>
      </c>
      <c r="B38" s="110"/>
      <c r="C38" s="2"/>
      <c r="D38" s="2"/>
      <c r="E38" s="2">
        <v>162585.41</v>
      </c>
      <c r="F38" s="2"/>
      <c r="G38" s="2">
        <f>410855.69+138863.03</f>
        <v>549718.72</v>
      </c>
      <c r="H38" s="2">
        <v>179639.45</v>
      </c>
      <c r="I38" s="2">
        <f>349786.74+482870.23</f>
        <v>832656.97</v>
      </c>
      <c r="J38" s="2">
        <v>179639.45</v>
      </c>
      <c r="K38" s="2">
        <f>325550.4+256894.84</f>
        <v>582445.24</v>
      </c>
      <c r="L38" s="2">
        <v>179639.45</v>
      </c>
      <c r="M38" s="2">
        <f>32098.35+367708.31</f>
        <v>399806.66</v>
      </c>
      <c r="N38" s="2">
        <v>179639.45</v>
      </c>
      <c r="O38" s="2">
        <f>19053.66+339996.73</f>
        <v>359050.38999999996</v>
      </c>
      <c r="P38" s="2">
        <v>179639.45</v>
      </c>
      <c r="Q38" s="2">
        <f>214101.64+184501.39</f>
        <v>398603.03</v>
      </c>
      <c r="R38" s="2">
        <v>179639.45</v>
      </c>
      <c r="S38" s="2">
        <f>293392.92+82646.26</f>
        <v>376039.18</v>
      </c>
      <c r="T38" s="2">
        <v>179639.45</v>
      </c>
      <c r="U38" s="2">
        <f>18347.3+293392.92</f>
        <v>311740.21999999997</v>
      </c>
      <c r="V38" s="2">
        <f>142806.04</f>
        <v>142806.04</v>
      </c>
      <c r="W38" s="2">
        <f>175124.05+248350.04</f>
        <v>423474.08999999997</v>
      </c>
      <c r="X38" s="2">
        <v>142806.04</v>
      </c>
      <c r="Y38" s="2">
        <v>99147.76</v>
      </c>
      <c r="Z38" s="2"/>
      <c r="AA38" s="16">
        <f>23731.53+27555.65</f>
        <v>51287.18</v>
      </c>
      <c r="AB38" s="16"/>
      <c r="AC38" s="16">
        <f>36698.81+43106.43</f>
        <v>79805.239999999991</v>
      </c>
      <c r="AD38" s="16"/>
      <c r="AE38" s="23">
        <f>AF38+16412.78</f>
        <v>238760.13999999998</v>
      </c>
      <c r="AF38" s="23">
        <f>104792.76+117554.6</f>
        <v>222347.36</v>
      </c>
      <c r="AG38" s="13"/>
      <c r="AH38" s="23"/>
      <c r="AI38" s="16">
        <f>54159.74+22819.27+80774.94</f>
        <v>157753.95000000001</v>
      </c>
      <c r="AJ38" s="29">
        <f>54159.74+22819.27</f>
        <v>76979.009999999995</v>
      </c>
      <c r="AK38" s="16"/>
      <c r="AL38" s="16"/>
      <c r="AM38" s="16">
        <f>52465.68+12400+210594.29+71814.93</f>
        <v>347274.9</v>
      </c>
      <c r="AN38" s="16">
        <f>52465.68+210594.29</f>
        <v>263059.97000000003</v>
      </c>
      <c r="AO38" s="16"/>
      <c r="AP38" s="16"/>
      <c r="AQ38" s="24"/>
      <c r="AR38" s="24"/>
    </row>
    <row r="39" spans="1:44" x14ac:dyDescent="0.25">
      <c r="A39" s="109" t="s">
        <v>8</v>
      </c>
      <c r="B39" s="110"/>
      <c r="C39" s="2"/>
      <c r="D39" s="2"/>
      <c r="E39" s="2"/>
      <c r="F39" s="2"/>
      <c r="G39" s="2">
        <f>1280106.96+331142.71</f>
        <v>1611249.67</v>
      </c>
      <c r="H39" s="2"/>
      <c r="I39" s="2">
        <f>1112706.33+292125.54</f>
        <v>1404831.87</v>
      </c>
      <c r="J39" s="2"/>
      <c r="K39" s="2">
        <f>1664826.89+424726.47</f>
        <v>2089553.3599999999</v>
      </c>
      <c r="L39" s="2"/>
      <c r="M39" s="2">
        <v>1291836.76</v>
      </c>
      <c r="N39" s="2"/>
      <c r="O39" s="2">
        <f>336869.12+1006180.12</f>
        <v>1343049.24</v>
      </c>
      <c r="P39" s="2"/>
      <c r="Q39" s="2">
        <f>290310.2+1054801</f>
        <v>1345111.2</v>
      </c>
      <c r="R39" s="2"/>
      <c r="S39" s="2">
        <f>210412.6+1031728.18</f>
        <v>1242140.78</v>
      </c>
      <c r="T39" s="2"/>
      <c r="U39" s="2">
        <f>144677.62+1051908.03</f>
        <v>1196585.6499999999</v>
      </c>
      <c r="V39" s="2"/>
      <c r="W39" s="2">
        <f>257630.31+1025805.39</f>
        <v>1283435.7</v>
      </c>
      <c r="X39" s="2"/>
      <c r="Y39" s="2"/>
      <c r="Z39" s="2"/>
      <c r="AA39" s="16">
        <f>367554.1+1092399.95</f>
        <v>1459954.0499999998</v>
      </c>
      <c r="AB39" s="16"/>
      <c r="AC39" s="16">
        <f>413160.07+976030.95</f>
        <v>1389191.02</v>
      </c>
      <c r="AD39" s="16"/>
      <c r="AE39" s="23">
        <f>AF39+20410</f>
        <v>1483828.69</v>
      </c>
      <c r="AF39" s="23">
        <f>399447.7+1063970.99</f>
        <v>1463418.69</v>
      </c>
      <c r="AG39" s="13"/>
      <c r="AH39" s="23"/>
      <c r="AI39" s="16">
        <f>399497.7+11131.38+1854102.36</f>
        <v>2264731.44</v>
      </c>
      <c r="AJ39" s="16">
        <f>399497.7+1854102.36</f>
        <v>2253600.06</v>
      </c>
      <c r="AK39" s="16"/>
      <c r="AL39" s="16"/>
      <c r="AM39" s="16">
        <f>404410.07+9252.25+2658844.23</f>
        <v>3072506.55</v>
      </c>
      <c r="AN39" s="16">
        <f>404410.07+2658844.23</f>
        <v>3063254.3</v>
      </c>
      <c r="AO39" s="16"/>
      <c r="AP39" s="16"/>
      <c r="AQ39" s="24"/>
      <c r="AR39" s="24"/>
    </row>
    <row r="40" spans="1:44" x14ac:dyDescent="0.25">
      <c r="A40" s="109" t="s">
        <v>9</v>
      </c>
      <c r="B40" s="110"/>
      <c r="C40" s="2"/>
      <c r="D40" s="2"/>
      <c r="E40" s="2"/>
      <c r="F40" s="2"/>
      <c r="G40" s="2">
        <f>191330.96+483962.51</f>
        <v>675293.47</v>
      </c>
      <c r="H40" s="2"/>
      <c r="I40" s="2">
        <f>171605.74+559066.92</f>
        <v>730672.66</v>
      </c>
      <c r="J40" s="2"/>
      <c r="K40" s="2">
        <f>209944.24+697945.82</f>
        <v>907890.05999999994</v>
      </c>
      <c r="L40" s="2"/>
      <c r="M40" s="2">
        <v>596611.02</v>
      </c>
      <c r="N40" s="2"/>
      <c r="O40" s="2">
        <f>198862.88+580042.1</f>
        <v>778904.98</v>
      </c>
      <c r="P40" s="2"/>
      <c r="Q40" s="2">
        <f>612669.18+219338.18</f>
        <v>832007.3600000001</v>
      </c>
      <c r="R40" s="2"/>
      <c r="S40" s="2">
        <f>201317.46+630998.38</f>
        <v>832315.84</v>
      </c>
      <c r="T40" s="2"/>
      <c r="U40" s="2">
        <f>184341.93+601701.1</f>
        <v>786043.03</v>
      </c>
      <c r="V40" s="2"/>
      <c r="W40" s="2">
        <f>177715.19+604861.18</f>
        <v>782576.37000000011</v>
      </c>
      <c r="X40" s="2"/>
      <c r="Y40" s="2">
        <v>-9193.7999999999993</v>
      </c>
      <c r="Z40" s="2"/>
      <c r="AA40" s="16">
        <f>254861.86+627161.14</f>
        <v>882023</v>
      </c>
      <c r="AB40" s="16"/>
      <c r="AC40" s="16">
        <f>363441.69+1320113.41</f>
        <v>1683555.0999999999</v>
      </c>
      <c r="AD40" s="16">
        <f>20923.56+643955.03</f>
        <v>664878.59000000008</v>
      </c>
      <c r="AE40" s="23">
        <f>AF40+9183.82</f>
        <v>2863942.15</v>
      </c>
      <c r="AF40" s="23">
        <f>469042.19+2385716.14</f>
        <v>2854758.33</v>
      </c>
      <c r="AG40" s="23">
        <v>1220473.1200000001</v>
      </c>
      <c r="AH40" s="23">
        <f>147655.46+1072817.66</f>
        <v>1220473.1199999999</v>
      </c>
      <c r="AI40" s="16">
        <f>283794.68+8867.96+960334.11</f>
        <v>1252996.75</v>
      </c>
      <c r="AJ40" s="16">
        <f>283794.68+960334.11</f>
        <v>1244128.79</v>
      </c>
      <c r="AK40" s="16"/>
      <c r="AL40" s="16"/>
      <c r="AM40" s="16">
        <f>201806.27+10737.4+1167211.92</f>
        <v>1379755.5899999999</v>
      </c>
      <c r="AN40" s="16">
        <f>201806.27+1167211.92</f>
        <v>1369018.19</v>
      </c>
      <c r="AO40" s="16"/>
      <c r="AP40" s="16"/>
      <c r="AQ40" s="24"/>
      <c r="AR40" s="24"/>
    </row>
    <row r="41" spans="1:44" x14ac:dyDescent="0.25">
      <c r="A41" s="109" t="s">
        <v>10</v>
      </c>
      <c r="B41" s="1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218898</f>
        <v>218898</v>
      </c>
      <c r="P41" s="2"/>
      <c r="Q41" s="2">
        <v>206882</v>
      </c>
      <c r="R41" s="2"/>
      <c r="S41" s="2">
        <v>165360</v>
      </c>
      <c r="T41" s="2"/>
      <c r="U41" s="2">
        <v>188686.65</v>
      </c>
      <c r="V41" s="2"/>
      <c r="W41" s="2">
        <f>191073</f>
        <v>191073</v>
      </c>
      <c r="X41" s="2"/>
      <c r="Y41" s="2">
        <v>-12759</v>
      </c>
      <c r="Z41" s="2"/>
      <c r="AA41" s="16"/>
      <c r="AB41" s="16"/>
      <c r="AC41" s="16"/>
      <c r="AD41" s="16"/>
      <c r="AE41" s="23">
        <f>AF41+1115</f>
        <v>94671.360000000001</v>
      </c>
      <c r="AF41" s="23">
        <v>93556.36</v>
      </c>
      <c r="AG41" s="23"/>
      <c r="AH41" s="23"/>
      <c r="AI41" s="16">
        <f>92285.57+477</f>
        <v>92762.57</v>
      </c>
      <c r="AJ41" s="16">
        <v>92285.57</v>
      </c>
      <c r="AK41" s="16"/>
      <c r="AL41" s="16"/>
      <c r="AM41" s="16"/>
      <c r="AN41" s="16"/>
      <c r="AO41" s="16"/>
      <c r="AP41" s="16"/>
      <c r="AQ41" s="24"/>
      <c r="AR41" s="24"/>
    </row>
    <row r="42" spans="1:44" x14ac:dyDescent="0.25">
      <c r="A42" s="109" t="s">
        <v>16</v>
      </c>
      <c r="B42" s="1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2683.17</v>
      </c>
      <c r="Z42" s="2"/>
      <c r="AA42" s="16">
        <v>199342.7</v>
      </c>
      <c r="AB42" s="16"/>
      <c r="AC42" s="16">
        <f>1258375.62</f>
        <v>1258375.6200000001</v>
      </c>
      <c r="AD42" s="16">
        <v>844102</v>
      </c>
      <c r="AE42" s="23">
        <f>AF42</f>
        <v>1362588.5</v>
      </c>
      <c r="AF42" s="23">
        <v>1362588.5</v>
      </c>
      <c r="AG42" s="23">
        <v>660120.76</v>
      </c>
      <c r="AH42" s="23">
        <v>660120.76</v>
      </c>
      <c r="AI42" s="16">
        <f>633441.77</f>
        <v>633441.77</v>
      </c>
      <c r="AJ42" s="16">
        <v>633441.77</v>
      </c>
      <c r="AK42" s="16"/>
      <c r="AL42" s="16"/>
      <c r="AM42" s="16">
        <v>664284.6</v>
      </c>
      <c r="AN42" s="16">
        <v>664284.6</v>
      </c>
      <c r="AO42" s="16"/>
      <c r="AP42" s="16"/>
      <c r="AQ42" s="24"/>
      <c r="AR42" s="24"/>
    </row>
    <row r="43" spans="1:44" x14ac:dyDescent="0.25">
      <c r="A43" s="111" t="s">
        <v>17</v>
      </c>
      <c r="B43" s="112"/>
      <c r="C43" s="115">
        <v>10765845.27</v>
      </c>
      <c r="D43" s="115">
        <v>7171240.7400000002</v>
      </c>
      <c r="E43" s="115">
        <f>SUM(E45:E49)</f>
        <v>13066265.32</v>
      </c>
      <c r="F43" s="115">
        <f>SUM(F45:F49)</f>
        <v>9363054.25</v>
      </c>
      <c r="G43" s="115">
        <f t="shared" ref="G43:AC43" si="9">SUM(G45:G49)</f>
        <v>12452961.670000002</v>
      </c>
      <c r="H43" s="115">
        <f t="shared" si="9"/>
        <v>10697359.270000001</v>
      </c>
      <c r="I43" s="115">
        <f t="shared" si="9"/>
        <v>10509503.82</v>
      </c>
      <c r="J43" s="115">
        <f t="shared" si="9"/>
        <v>9311032.910000002</v>
      </c>
      <c r="K43" s="115">
        <f t="shared" si="9"/>
        <v>9816963.7700000014</v>
      </c>
      <c r="L43" s="115">
        <f t="shared" si="9"/>
        <v>9514146.0000000019</v>
      </c>
      <c r="M43" s="115">
        <f t="shared" si="9"/>
        <v>10491903.119999999</v>
      </c>
      <c r="N43" s="115">
        <f t="shared" si="9"/>
        <v>10223094.629999999</v>
      </c>
      <c r="O43" s="115">
        <f t="shared" si="9"/>
        <v>11041075.82</v>
      </c>
      <c r="P43" s="115">
        <f t="shared" si="9"/>
        <v>9852688.540000001</v>
      </c>
      <c r="Q43" s="115">
        <f t="shared" si="9"/>
        <v>11491967.560000001</v>
      </c>
      <c r="R43" s="115">
        <f t="shared" si="9"/>
        <v>9865070.0600000005</v>
      </c>
      <c r="S43" s="115">
        <f t="shared" si="9"/>
        <v>12060303.5</v>
      </c>
      <c r="T43" s="115">
        <f t="shared" si="9"/>
        <v>10862190.040000001</v>
      </c>
      <c r="U43" s="115">
        <f t="shared" si="9"/>
        <v>11619250.300000001</v>
      </c>
      <c r="V43" s="115">
        <f t="shared" si="9"/>
        <v>9816511.040000001</v>
      </c>
      <c r="W43" s="115">
        <f t="shared" si="9"/>
        <v>11514591.1</v>
      </c>
      <c r="X43" s="115">
        <f t="shared" si="9"/>
        <v>10293165.02</v>
      </c>
      <c r="Y43" s="115">
        <f t="shared" si="9"/>
        <v>14972637.870000001</v>
      </c>
      <c r="Z43" s="115">
        <f t="shared" si="9"/>
        <v>11006589.689999999</v>
      </c>
      <c r="AA43" s="128">
        <f t="shared" si="9"/>
        <v>11434380.700000001</v>
      </c>
      <c r="AB43" s="128">
        <f t="shared" si="9"/>
        <v>1118646.56</v>
      </c>
      <c r="AC43" s="128">
        <f t="shared" si="9"/>
        <v>20378851.969999999</v>
      </c>
      <c r="AD43" s="128">
        <f t="shared" ref="AD43:AK43" si="10">AD45+AD46+AD47+AD48+AD49</f>
        <v>6845671.4899999993</v>
      </c>
      <c r="AE43" s="126">
        <f t="shared" si="10"/>
        <v>21821924</v>
      </c>
      <c r="AF43" s="126">
        <f t="shared" si="10"/>
        <v>1624721</v>
      </c>
      <c r="AG43" s="126">
        <f t="shared" si="10"/>
        <v>8640587.1999999993</v>
      </c>
      <c r="AH43" s="126">
        <f t="shared" si="10"/>
        <v>0</v>
      </c>
      <c r="AI43" s="122">
        <f t="shared" si="10"/>
        <v>16329235.25</v>
      </c>
      <c r="AJ43" s="122">
        <v>0</v>
      </c>
      <c r="AK43" s="122">
        <f t="shared" si="10"/>
        <v>5018242.82</v>
      </c>
      <c r="AL43" s="122">
        <v>0</v>
      </c>
      <c r="AM43" s="122">
        <f>AM45+AM46+AM47+AM48+AM49</f>
        <v>14750043.789999999</v>
      </c>
      <c r="AN43" s="122">
        <f>AN45+AN46+AN47+AN48+AN49</f>
        <v>0</v>
      </c>
      <c r="AO43" s="122">
        <f>AO45+AO46+AO47+AO48+AO49</f>
        <v>2700000</v>
      </c>
      <c r="AP43" s="122">
        <f>AP45+AP46+AP47+AP48+AP49</f>
        <v>0</v>
      </c>
      <c r="AQ43" s="116">
        <f>AM43/AI43-1</f>
        <v>-9.6709456127163196E-2</v>
      </c>
      <c r="AR43" s="116">
        <f>AO43/AK43-1</f>
        <v>-0.46196306220192029</v>
      </c>
    </row>
    <row r="44" spans="1:44" x14ac:dyDescent="0.25">
      <c r="A44" s="113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5"/>
      <c r="AB44" s="125"/>
      <c r="AC44" s="125"/>
      <c r="AD44" s="125"/>
      <c r="AE44" s="127"/>
      <c r="AF44" s="127"/>
      <c r="AG44" s="127"/>
      <c r="AH44" s="127"/>
      <c r="AI44" s="123"/>
      <c r="AJ44" s="123"/>
      <c r="AK44" s="123"/>
      <c r="AL44" s="123"/>
      <c r="AM44" s="123"/>
      <c r="AN44" s="123"/>
      <c r="AO44" s="123"/>
      <c r="AP44" s="123"/>
      <c r="AQ44" s="117"/>
      <c r="AR44" s="117"/>
    </row>
    <row r="45" spans="1:44" x14ac:dyDescent="0.25">
      <c r="A45" s="109" t="s">
        <v>11</v>
      </c>
      <c r="B45" s="110"/>
      <c r="C45" s="2"/>
      <c r="D45" s="2"/>
      <c r="E45" s="2">
        <v>1445875.56</v>
      </c>
      <c r="F45" s="2">
        <v>504057.32</v>
      </c>
      <c r="G45" s="2">
        <f>15780.83+1401592.32</f>
        <v>1417373.1500000001</v>
      </c>
      <c r="H45" s="2">
        <f>497307.75</f>
        <v>497307.75</v>
      </c>
      <c r="I45" s="2">
        <f>14359.15+1094634.15</f>
        <v>1108993.2999999998</v>
      </c>
      <c r="J45" s="2">
        <v>581610.39</v>
      </c>
      <c r="K45" s="2">
        <f>45290.3+812014.95</f>
        <v>857305.25</v>
      </c>
      <c r="L45" s="2">
        <v>554487.48</v>
      </c>
      <c r="M45" s="2">
        <f>22392+828113.09</f>
        <v>850505.09</v>
      </c>
      <c r="N45" s="2">
        <f>581696.6</f>
        <v>581696.6</v>
      </c>
      <c r="O45" s="2">
        <f>24207.15+1590490.12</f>
        <v>1614697.27</v>
      </c>
      <c r="P45" s="2">
        <f>484794.48</f>
        <v>484794.48</v>
      </c>
      <c r="Q45" s="2">
        <v>1906086.62</v>
      </c>
      <c r="R45" s="2"/>
      <c r="S45" s="2">
        <f>23600.15+1705289.54</f>
        <v>1728889.69</v>
      </c>
      <c r="T45" s="2">
        <v>530776.23</v>
      </c>
      <c r="U45" s="2">
        <f>2268996.34+30919.15</f>
        <v>2299915.4899999998</v>
      </c>
      <c r="V45" s="2">
        <v>497176.23</v>
      </c>
      <c r="W45" s="2">
        <f>2127960.81+48959.2</f>
        <v>2176920.0100000002</v>
      </c>
      <c r="X45" s="2">
        <v>955493.93</v>
      </c>
      <c r="Y45" s="2">
        <v>2219644.2799999998</v>
      </c>
      <c r="Z45" s="2">
        <f>782752.86</f>
        <v>782752.86</v>
      </c>
      <c r="AA45" s="16">
        <f>25455.33+3676740.99</f>
        <v>3702196.3200000003</v>
      </c>
      <c r="AB45" s="16">
        <v>370926</v>
      </c>
      <c r="AC45" s="16">
        <f>25119.87+10218497.79</f>
        <v>10243617.659999998</v>
      </c>
      <c r="AD45" s="16">
        <v>3812324.48</v>
      </c>
      <c r="AE45" s="23">
        <f>92866+7505896.09</f>
        <v>7598762.0899999999</v>
      </c>
      <c r="AF45" s="23">
        <v>1624721</v>
      </c>
      <c r="AG45" s="23">
        <v>1546341.78</v>
      </c>
      <c r="AH45" s="13"/>
      <c r="AI45" s="16">
        <f>36469.87+5446750.25</f>
        <v>5483220.1200000001</v>
      </c>
      <c r="AJ45" s="33">
        <v>0</v>
      </c>
      <c r="AK45" s="16">
        <v>2700000</v>
      </c>
      <c r="AL45" s="16">
        <v>0</v>
      </c>
      <c r="AM45" s="16">
        <f>27277.2+5894860.59</f>
        <v>5922137.79</v>
      </c>
      <c r="AN45" s="16"/>
      <c r="AO45" s="16">
        <v>2700000</v>
      </c>
      <c r="AP45" s="16"/>
      <c r="AQ45" s="24"/>
      <c r="AR45" s="24"/>
    </row>
    <row r="46" spans="1:44" x14ac:dyDescent="0.25">
      <c r="A46" s="109" t="s">
        <v>8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107414.79</v>
      </c>
      <c r="R46" s="2"/>
      <c r="S46" s="2"/>
      <c r="T46" s="2"/>
      <c r="U46" s="2"/>
      <c r="V46" s="2"/>
      <c r="W46" s="2"/>
      <c r="X46" s="2"/>
      <c r="Y46" s="2"/>
      <c r="Z46" s="2"/>
      <c r="AA46" s="16">
        <f>240366.78+3338386.23</f>
        <v>3578753.01</v>
      </c>
      <c r="AB46" s="16"/>
      <c r="AC46" s="16">
        <f>213303.85+3570475.36</f>
        <v>3783779.21</v>
      </c>
      <c r="AD46" s="16"/>
      <c r="AE46" s="23">
        <f>1048316.56+3892857.12</f>
        <v>4941173.68</v>
      </c>
      <c r="AF46" s="13"/>
      <c r="AG46" s="23"/>
      <c r="AH46" s="13"/>
      <c r="AI46" s="16">
        <f>1013379.37+4504888.09</f>
        <v>5518267.46</v>
      </c>
      <c r="AJ46" s="16"/>
      <c r="AK46" s="16"/>
      <c r="AL46" s="16"/>
      <c r="AM46" s="16">
        <f>1124960+5155518</f>
        <v>6280478</v>
      </c>
      <c r="AN46" s="16"/>
      <c r="AO46" s="16"/>
      <c r="AP46" s="16"/>
      <c r="AQ46" s="24"/>
      <c r="AR46" s="24"/>
    </row>
    <row r="47" spans="1:44" x14ac:dyDescent="0.25">
      <c r="A47" s="109" t="s">
        <v>9</v>
      </c>
      <c r="B47" s="110"/>
      <c r="C47" s="2"/>
      <c r="D47" s="2"/>
      <c r="E47" s="2">
        <v>1463841.51</v>
      </c>
      <c r="F47" s="2"/>
      <c r="G47" s="2">
        <v>166700</v>
      </c>
      <c r="H47" s="2"/>
      <c r="I47" s="2"/>
      <c r="J47" s="2"/>
      <c r="K47" s="2"/>
      <c r="L47" s="2"/>
      <c r="M47" s="2"/>
      <c r="N47" s="2"/>
      <c r="O47" s="2">
        <v>27151.16</v>
      </c>
      <c r="P47" s="2"/>
      <c r="Q47" s="2">
        <v>78572.100000000006</v>
      </c>
      <c r="R47" s="2"/>
      <c r="S47" s="2"/>
      <c r="T47" s="2"/>
      <c r="U47" s="2"/>
      <c r="V47" s="2"/>
      <c r="W47" s="2"/>
      <c r="X47" s="2"/>
      <c r="Y47" s="2">
        <v>1439851.12</v>
      </c>
      <c r="Z47" s="2"/>
      <c r="AA47" s="16">
        <f>182858.49+1828141.64</f>
        <v>2011000.13</v>
      </c>
      <c r="AB47" s="16"/>
      <c r="AC47" s="16">
        <f>194574.38+2050743.86</f>
        <v>2245318.2400000002</v>
      </c>
      <c r="AD47" s="16"/>
      <c r="AE47" s="23">
        <f>763510.32+2959710.97+0.85</f>
        <v>3723222.14</v>
      </c>
      <c r="AF47" s="13"/>
      <c r="AG47" s="23">
        <f>317932.16+1222488.09</f>
        <v>1540420.25</v>
      </c>
      <c r="AH47" s="13"/>
      <c r="AI47" s="16">
        <f>840855.82+2166721.03</f>
        <v>3007576.8499999996</v>
      </c>
      <c r="AJ47" s="16"/>
      <c r="AK47" s="16"/>
      <c r="AL47" s="16"/>
      <c r="AM47" s="16">
        <f>456547+2090881</f>
        <v>2547428</v>
      </c>
      <c r="AN47" s="16"/>
      <c r="AO47" s="16"/>
      <c r="AP47" s="16"/>
      <c r="AQ47" s="24"/>
      <c r="AR47" s="24"/>
    </row>
    <row r="48" spans="1:44" x14ac:dyDescent="0.25">
      <c r="A48" s="109" t="s">
        <v>10</v>
      </c>
      <c r="B48" s="110"/>
      <c r="C48" s="2"/>
      <c r="D48" s="2"/>
      <c r="E48" s="2">
        <v>10156548.25</v>
      </c>
      <c r="F48" s="2">
        <v>8858996.9299999997</v>
      </c>
      <c r="G48" s="2">
        <f>317.3+10868571.22</f>
        <v>10868888.520000001</v>
      </c>
      <c r="H48" s="2">
        <f>10199734.22+317.3</f>
        <v>10200051.520000001</v>
      </c>
      <c r="I48" s="2">
        <f>317.3+9400193.22</f>
        <v>9400510.5200000014</v>
      </c>
      <c r="J48" s="2">
        <f>317.3+8729105.22</f>
        <v>8729422.5200000014</v>
      </c>
      <c r="K48" s="2">
        <f>317.3+8959341.22</f>
        <v>8959658.5200000014</v>
      </c>
      <c r="L48" s="2">
        <f>317.3+8959341.22</f>
        <v>8959658.5200000014</v>
      </c>
      <c r="M48" s="2">
        <v>9641398.0299999993</v>
      </c>
      <c r="N48" s="2">
        <v>9641398.0299999993</v>
      </c>
      <c r="O48" s="2">
        <f>9367894.06</f>
        <v>9367894.0600000005</v>
      </c>
      <c r="P48" s="2">
        <f>9367894.06</f>
        <v>9367894.0600000005</v>
      </c>
      <c r="Q48" s="2">
        <f>9367894.06</f>
        <v>9367894.0600000005</v>
      </c>
      <c r="R48" s="2">
        <v>9865070.0600000005</v>
      </c>
      <c r="S48" s="2">
        <v>10331413.810000001</v>
      </c>
      <c r="T48" s="2">
        <v>10331413.810000001</v>
      </c>
      <c r="U48" s="2">
        <v>9319334.8100000005</v>
      </c>
      <c r="V48" s="2">
        <v>9319334.8100000005</v>
      </c>
      <c r="W48" s="2">
        <f>9337671.09</f>
        <v>9337671.0899999999</v>
      </c>
      <c r="X48" s="2">
        <v>9337671.0899999999</v>
      </c>
      <c r="Y48" s="2">
        <v>11178667.26</v>
      </c>
      <c r="Z48" s="2">
        <v>10089361.619999999</v>
      </c>
      <c r="AA48" s="16">
        <f>41557.97+1353152.71</f>
        <v>1394710.68</v>
      </c>
      <c r="AB48" s="16"/>
      <c r="AC48" s="16">
        <f>79834.83+2444326.98</f>
        <v>2524161.81</v>
      </c>
      <c r="AD48" s="16">
        <v>1451371.96</v>
      </c>
      <c r="AE48" s="23">
        <f>15039+567180.92</f>
        <v>582219.92000000004</v>
      </c>
      <c r="AF48" s="13"/>
      <c r="AG48" s="23">
        <f>15039+562240</f>
        <v>577279</v>
      </c>
      <c r="AH48" s="13"/>
      <c r="AI48" s="16">
        <v>497002</v>
      </c>
      <c r="AJ48" s="16"/>
      <c r="AK48" s="16">
        <v>495074</v>
      </c>
      <c r="AL48" s="16"/>
      <c r="AM48" s="16"/>
      <c r="AN48" s="16"/>
      <c r="AO48" s="16"/>
      <c r="AP48" s="16"/>
      <c r="AQ48" s="24"/>
      <c r="AR48" s="24"/>
    </row>
    <row r="49" spans="1:44" ht="14.25" customHeight="1" x14ac:dyDescent="0.25">
      <c r="A49" s="109" t="s">
        <v>16</v>
      </c>
      <c r="B49" s="1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31333.33</v>
      </c>
      <c r="P49" s="2"/>
      <c r="Q49" s="2">
        <v>31999.99</v>
      </c>
      <c r="R49" s="2"/>
      <c r="S49" s="2"/>
      <c r="T49" s="2"/>
      <c r="U49" s="2"/>
      <c r="V49" s="2"/>
      <c r="W49" s="2"/>
      <c r="X49" s="2"/>
      <c r="Y49" s="2">
        <v>134475.21</v>
      </c>
      <c r="Z49" s="2">
        <v>134475.21</v>
      </c>
      <c r="AA49" s="16">
        <v>747720.56</v>
      </c>
      <c r="AB49" s="16">
        <v>747720.56</v>
      </c>
      <c r="AC49" s="16">
        <v>1581975.05</v>
      </c>
      <c r="AD49" s="16">
        <v>1581975.05</v>
      </c>
      <c r="AE49" s="23">
        <v>4976546.17</v>
      </c>
      <c r="AF49" s="13"/>
      <c r="AG49" s="23">
        <v>4976546.17</v>
      </c>
      <c r="AH49" s="13"/>
      <c r="AI49" s="16">
        <v>1823168.82</v>
      </c>
      <c r="AJ49" s="16"/>
      <c r="AK49" s="16">
        <v>1823168.82</v>
      </c>
      <c r="AL49" s="16"/>
      <c r="AM49" s="16"/>
      <c r="AN49" s="16"/>
      <c r="AO49" s="16"/>
      <c r="AP49" s="16"/>
      <c r="AQ49" s="24"/>
      <c r="AR49" s="24"/>
    </row>
    <row r="50" spans="1:44" ht="1.5" hidden="1" customHeight="1" x14ac:dyDescent="0.25">
      <c r="A50" s="111" t="s">
        <v>4</v>
      </c>
      <c r="B50" s="112"/>
      <c r="C50" s="115">
        <v>654159.29</v>
      </c>
      <c r="D50" s="115">
        <f>SUM(D52:D56)</f>
        <v>0</v>
      </c>
      <c r="E50" s="115">
        <f t="shared" ref="E50:Z50" si="11">SUM(E52:E56)</f>
        <v>159427.71</v>
      </c>
      <c r="F50" s="115">
        <f t="shared" si="11"/>
        <v>156150</v>
      </c>
      <c r="G50" s="115">
        <f t="shared" si="11"/>
        <v>166323.26</v>
      </c>
      <c r="H50" s="115">
        <f t="shared" si="11"/>
        <v>156150</v>
      </c>
      <c r="I50" s="115">
        <f t="shared" si="11"/>
        <v>158187.54</v>
      </c>
      <c r="J50" s="115">
        <f t="shared" si="11"/>
        <v>156150</v>
      </c>
      <c r="K50" s="115">
        <f t="shared" si="11"/>
        <v>157389.10999999999</v>
      </c>
      <c r="L50" s="115">
        <f t="shared" si="11"/>
        <v>156150</v>
      </c>
      <c r="M50" s="115">
        <f t="shared" si="11"/>
        <v>162310.56</v>
      </c>
      <c r="N50" s="115">
        <f t="shared" si="11"/>
        <v>156150</v>
      </c>
      <c r="O50" s="115">
        <f t="shared" si="11"/>
        <v>158206.72</v>
      </c>
      <c r="P50" s="115">
        <f t="shared" si="11"/>
        <v>156150</v>
      </c>
      <c r="Q50" s="115">
        <f t="shared" si="11"/>
        <v>162910.32999999999</v>
      </c>
      <c r="R50" s="115">
        <f t="shared" si="11"/>
        <v>156150</v>
      </c>
      <c r="S50" s="115">
        <f t="shared" si="11"/>
        <v>159608.60999999999</v>
      </c>
      <c r="T50" s="115">
        <f t="shared" si="11"/>
        <v>156150</v>
      </c>
      <c r="U50" s="115">
        <f t="shared" si="11"/>
        <v>157986.35</v>
      </c>
      <c r="V50" s="115">
        <f t="shared" si="11"/>
        <v>156150</v>
      </c>
      <c r="W50" s="115">
        <f t="shared" si="11"/>
        <v>159926.9</v>
      </c>
      <c r="X50" s="115">
        <f t="shared" si="11"/>
        <v>156150</v>
      </c>
      <c r="Y50" s="115">
        <f t="shared" si="11"/>
        <v>0</v>
      </c>
      <c r="Z50" s="115">
        <f t="shared" si="11"/>
        <v>0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129">
        <f>Y50/E50-1</f>
        <v>-1</v>
      </c>
      <c r="AR50" s="129">
        <f>Z50/F50-1</f>
        <v>-1</v>
      </c>
    </row>
    <row r="51" spans="1:44" hidden="1" x14ac:dyDescent="0.25">
      <c r="A51" s="113"/>
      <c r="B51" s="11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130"/>
      <c r="AR51" s="130"/>
    </row>
    <row r="52" spans="1:44" hidden="1" x14ac:dyDescent="0.25">
      <c r="A52" s="109" t="s">
        <v>11</v>
      </c>
      <c r="B52" s="110"/>
      <c r="C52" s="2"/>
      <c r="D52" s="2"/>
      <c r="E52" s="2">
        <v>2936.71</v>
      </c>
      <c r="F52" s="2"/>
      <c r="G52" s="2">
        <v>10173.26</v>
      </c>
      <c r="H52" s="2"/>
      <c r="I52" s="2">
        <v>2037.54</v>
      </c>
      <c r="J52" s="2"/>
      <c r="K52" s="2">
        <v>1239.1099999999999</v>
      </c>
      <c r="L52" s="2"/>
      <c r="M52" s="2">
        <v>6160.56</v>
      </c>
      <c r="N52" s="2"/>
      <c r="O52" s="2">
        <v>2056.7199999999998</v>
      </c>
      <c r="P52" s="2"/>
      <c r="Q52" s="2">
        <v>4968.33</v>
      </c>
      <c r="R52" s="2"/>
      <c r="S52" s="2">
        <v>3458.61</v>
      </c>
      <c r="T52" s="2"/>
      <c r="U52" s="2">
        <v>1836.35</v>
      </c>
      <c r="V52" s="2"/>
      <c r="W52" s="2">
        <v>3776.9</v>
      </c>
      <c r="X52" s="2"/>
      <c r="Y52" s="2"/>
      <c r="Z52" s="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31"/>
      <c r="AR52" s="31"/>
    </row>
    <row r="53" spans="1:44" hidden="1" x14ac:dyDescent="0.25">
      <c r="A53" s="109" t="s">
        <v>8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31"/>
      <c r="AR53" s="31"/>
    </row>
    <row r="54" spans="1:44" hidden="1" x14ac:dyDescent="0.25">
      <c r="A54" s="109" t="s">
        <v>9</v>
      </c>
      <c r="B54" s="110"/>
      <c r="C54" s="2"/>
      <c r="D54" s="2"/>
      <c r="E54" s="2">
        <v>-10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31"/>
      <c r="AR54" s="31"/>
    </row>
    <row r="55" spans="1:44" hidden="1" x14ac:dyDescent="0.25">
      <c r="A55" s="109" t="s">
        <v>10</v>
      </c>
      <c r="B55" s="110"/>
      <c r="C55" s="2"/>
      <c r="D55" s="2"/>
      <c r="E55" s="2">
        <v>351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1792</v>
      </c>
      <c r="R55" s="2"/>
      <c r="S55" s="2"/>
      <c r="T55" s="2"/>
      <c r="U55" s="2"/>
      <c r="V55" s="2"/>
      <c r="W55" s="2"/>
      <c r="X55" s="2"/>
      <c r="Y55" s="2"/>
      <c r="Z55" s="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1"/>
      <c r="AR55" s="31"/>
    </row>
    <row r="56" spans="1:44" hidden="1" x14ac:dyDescent="0.25">
      <c r="A56" s="109" t="s">
        <v>16</v>
      </c>
      <c r="B56" s="110"/>
      <c r="C56" s="2"/>
      <c r="D56" s="2"/>
      <c r="E56" s="2">
        <v>156150</v>
      </c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0</v>
      </c>
      <c r="Z56" s="2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1"/>
      <c r="AR56" s="31"/>
    </row>
    <row r="57" spans="1:44" x14ac:dyDescent="0.25">
      <c r="A57" s="111" t="s">
        <v>18</v>
      </c>
      <c r="B57" s="112"/>
      <c r="C57" s="107">
        <v>10829169.880000001</v>
      </c>
      <c r="D57" s="107">
        <f>1640975.89+2975186.97+988391.8</f>
        <v>5604554.6600000001</v>
      </c>
      <c r="E57" s="107">
        <f>SUM(E59:E63)</f>
        <v>6197764.7700000005</v>
      </c>
      <c r="F57" s="107">
        <f>SUM(F59:F63)</f>
        <v>3749667.49</v>
      </c>
      <c r="G57" s="107">
        <f t="shared" ref="G57:AD57" si="12">SUM(G59:G63)</f>
        <v>6852948.2799999993</v>
      </c>
      <c r="H57" s="107">
        <f t="shared" si="12"/>
        <v>3749667.49</v>
      </c>
      <c r="I57" s="107">
        <f t="shared" si="12"/>
        <v>5929212.6499999994</v>
      </c>
      <c r="J57" s="107">
        <f t="shared" si="12"/>
        <v>2974471.0500000003</v>
      </c>
      <c r="K57" s="107">
        <f t="shared" si="12"/>
        <v>7559967.5599999996</v>
      </c>
      <c r="L57" s="107">
        <f t="shared" si="12"/>
        <v>2974471.0500000003</v>
      </c>
      <c r="M57" s="107">
        <f t="shared" si="12"/>
        <v>6930316.6799999997</v>
      </c>
      <c r="N57" s="107">
        <f t="shared" si="12"/>
        <v>4894294.6399999997</v>
      </c>
      <c r="O57" s="107">
        <f t="shared" si="12"/>
        <v>7219255.4799999995</v>
      </c>
      <c r="P57" s="107">
        <f t="shared" si="12"/>
        <v>4894294.6399999997</v>
      </c>
      <c r="Q57" s="107">
        <f t="shared" si="12"/>
        <v>9600917.8499999996</v>
      </c>
      <c r="R57" s="107">
        <f t="shared" si="12"/>
        <v>4651292.82</v>
      </c>
      <c r="S57" s="107">
        <f t="shared" si="12"/>
        <v>8525632.5199999996</v>
      </c>
      <c r="T57" s="107">
        <f t="shared" si="12"/>
        <v>4005766.16</v>
      </c>
      <c r="U57" s="107">
        <f t="shared" si="12"/>
        <v>10599393.380000001</v>
      </c>
      <c r="V57" s="107">
        <f t="shared" si="12"/>
        <v>1496363.55</v>
      </c>
      <c r="W57" s="107">
        <f t="shared" si="12"/>
        <v>20377243.73</v>
      </c>
      <c r="X57" s="107">
        <f t="shared" si="12"/>
        <v>1496363.55</v>
      </c>
      <c r="Y57" s="107">
        <f t="shared" si="12"/>
        <v>20412653.610000003</v>
      </c>
      <c r="Z57" s="107">
        <f t="shared" si="12"/>
        <v>13308419.82</v>
      </c>
      <c r="AA57" s="124">
        <f t="shared" si="12"/>
        <v>54055934.440000005</v>
      </c>
      <c r="AB57" s="124">
        <f t="shared" si="12"/>
        <v>17697811.539999999</v>
      </c>
      <c r="AC57" s="124">
        <f t="shared" si="12"/>
        <v>61418098.109999999</v>
      </c>
      <c r="AD57" s="124">
        <f t="shared" si="12"/>
        <v>39172056.890000001</v>
      </c>
      <c r="AE57" s="118">
        <f>AE59+AE60+AE61+AE62+AE63</f>
        <v>12238071.009999998</v>
      </c>
      <c r="AF57" s="118">
        <f>AF59+AF60+AF61+AF62+AF63</f>
        <v>4454905.63</v>
      </c>
      <c r="AG57" s="118">
        <f>AG59+AG60+AG61+AG62+AG63</f>
        <v>401041.57</v>
      </c>
      <c r="AH57" s="118">
        <f>AH59+AH60+AH61+AH62+AH63</f>
        <v>0</v>
      </c>
      <c r="AI57" s="120">
        <f>AI59+AI60+AI61+AI62+AI63</f>
        <v>75253.62</v>
      </c>
      <c r="AJ57" s="120">
        <v>0</v>
      </c>
      <c r="AK57" s="120">
        <v>0</v>
      </c>
      <c r="AL57" s="120">
        <v>0</v>
      </c>
      <c r="AM57" s="120">
        <f>AM59+AM60+AM61+AM62+AM63</f>
        <v>0</v>
      </c>
      <c r="AN57" s="120">
        <f>AN59+AN60+AN61+AN62+AN63</f>
        <v>0</v>
      </c>
      <c r="AO57" s="120">
        <f>AO59+AO60+AO61+AO62+AO63</f>
        <v>0</v>
      </c>
      <c r="AP57" s="120">
        <f>AP59+AP60+AP61+AP62+AP63</f>
        <v>0</v>
      </c>
      <c r="AQ57" s="116">
        <f>AM57/AI57-1</f>
        <v>-1</v>
      </c>
      <c r="AR57" s="116" t="e">
        <f>AO57/AK57-1</f>
        <v>#DIV/0!</v>
      </c>
    </row>
    <row r="58" spans="1:44" x14ac:dyDescent="0.25">
      <c r="A58" s="113"/>
      <c r="B58" s="11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5"/>
      <c r="AB58" s="125"/>
      <c r="AC58" s="125"/>
      <c r="AD58" s="125"/>
      <c r="AE58" s="119"/>
      <c r="AF58" s="119"/>
      <c r="AG58" s="119"/>
      <c r="AH58" s="119"/>
      <c r="AI58" s="121"/>
      <c r="AJ58" s="121"/>
      <c r="AK58" s="121"/>
      <c r="AL58" s="121"/>
      <c r="AM58" s="121"/>
      <c r="AN58" s="121"/>
      <c r="AO58" s="121"/>
      <c r="AP58" s="121"/>
      <c r="AQ58" s="117"/>
      <c r="AR58" s="117"/>
    </row>
    <row r="59" spans="1:44" x14ac:dyDescent="0.25">
      <c r="A59" s="109" t="s">
        <v>11</v>
      </c>
      <c r="B59" s="110"/>
      <c r="C59" s="1"/>
      <c r="D59" s="1"/>
      <c r="E59" s="1">
        <v>6195284.0800000001</v>
      </c>
      <c r="F59" s="1">
        <f>3363056.56+386610.93</f>
        <v>3749667.49</v>
      </c>
      <c r="G59" s="1">
        <f>2263909.36+4559378.25</f>
        <v>6823287.6099999994</v>
      </c>
      <c r="H59" s="1">
        <f>386610.93+3363056.56</f>
        <v>3749667.49</v>
      </c>
      <c r="I59" s="1">
        <f>1799893.76+4099496.79</f>
        <v>5899390.5499999998</v>
      </c>
      <c r="J59" s="1">
        <f>386610.93+2587860.12</f>
        <v>2974471.0500000003</v>
      </c>
      <c r="K59" s="1">
        <f>5416106.16+2141154.26+1386.18+1320.96</f>
        <v>7559967.5599999996</v>
      </c>
      <c r="L59" s="1">
        <f>2587860.12+386610.93</f>
        <v>2974471.0500000003</v>
      </c>
      <c r="M59" s="1">
        <v>6930316.6799999997</v>
      </c>
      <c r="N59" s="1">
        <v>4894294.6399999997</v>
      </c>
      <c r="O59" s="1">
        <f>1865798.47+5348998.75</f>
        <v>7214797.2199999997</v>
      </c>
      <c r="P59" s="1">
        <f>386610.93+4507683.71</f>
        <v>4894294.6399999997</v>
      </c>
      <c r="Q59" s="1">
        <v>9600917.8499999996</v>
      </c>
      <c r="R59" s="1">
        <v>4651292.82</v>
      </c>
      <c r="S59" s="1">
        <f>2951333.92+5555295.68+15251.76+3751.16</f>
        <v>8525632.5199999996</v>
      </c>
      <c r="T59" s="1">
        <f>3619155.23+386610.93</f>
        <v>4005766.16</v>
      </c>
      <c r="U59" s="1">
        <f>1992205.58+8591549.02+5323.15+10315.63</f>
        <v>10599393.380000001</v>
      </c>
      <c r="V59" s="1">
        <f>1109752.62+386610.93</f>
        <v>1496363.55</v>
      </c>
      <c r="W59" s="1">
        <f>10545735.23+9823125.67+3422.46+4960.37</f>
        <v>20377243.73</v>
      </c>
      <c r="X59" s="1">
        <f>386610.93+1109752.62</f>
        <v>1496363.55</v>
      </c>
      <c r="Y59" s="1">
        <v>20441640.960000001</v>
      </c>
      <c r="Z59" s="1">
        <v>13308419.82</v>
      </c>
      <c r="AA59" s="19">
        <f>33166250.55+116.03+20185020.65+10333.24-153588.27</f>
        <v>53208132.200000003</v>
      </c>
      <c r="AB59" s="19">
        <f>17535000.48+162811.06-153588.27</f>
        <v>17544223.27</v>
      </c>
      <c r="AC59" s="19">
        <f>44014737.97+19482.3+16465957.71</f>
        <v>60500177.979999997</v>
      </c>
      <c r="AD59" s="19">
        <f>29503554.98+9668501.91</f>
        <v>39172056.890000001</v>
      </c>
      <c r="AE59" s="28">
        <v>11770839.189999999</v>
      </c>
      <c r="AF59" s="28">
        <v>4454905.63</v>
      </c>
      <c r="AG59" s="28">
        <v>401041.57</v>
      </c>
      <c r="AH59" s="12"/>
      <c r="AI59" s="19">
        <v>75253.62</v>
      </c>
      <c r="AJ59" s="19">
        <v>0</v>
      </c>
      <c r="AK59" s="19">
        <v>0</v>
      </c>
      <c r="AL59" s="19"/>
      <c r="AM59" s="12"/>
      <c r="AN59" s="12"/>
      <c r="AO59" s="12"/>
      <c r="AP59" s="12"/>
      <c r="AQ59" s="39"/>
      <c r="AR59" s="39"/>
    </row>
    <row r="60" spans="1:44" x14ac:dyDescent="0.25">
      <c r="A60" s="109" t="s">
        <v>8</v>
      </c>
      <c r="B60" s="1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9">
        <f>174701.03+239873.77</f>
        <v>414574.8</v>
      </c>
      <c r="AB60" s="19"/>
      <c r="AC60" s="19">
        <f>340113.75+6309.58+298211.41</f>
        <v>644634.74</v>
      </c>
      <c r="AD60" s="19"/>
      <c r="AE60" s="28">
        <f>180975.63+90797+9669.95</f>
        <v>281442.58</v>
      </c>
      <c r="AF60" s="12"/>
      <c r="AG60" s="12"/>
      <c r="AH60" s="12"/>
      <c r="AI60" s="19"/>
      <c r="AJ60" s="19"/>
      <c r="AK60" s="19"/>
      <c r="AL60" s="19"/>
      <c r="AM60" s="12"/>
      <c r="AN60" s="12"/>
      <c r="AO60" s="12"/>
      <c r="AP60" s="12"/>
      <c r="AQ60" s="39"/>
      <c r="AR60" s="39"/>
    </row>
    <row r="61" spans="1:44" x14ac:dyDescent="0.25">
      <c r="A61" s="109" t="s">
        <v>9</v>
      </c>
      <c r="B61" s="110"/>
      <c r="C61" s="1"/>
      <c r="D61" s="1"/>
      <c r="E61" s="1"/>
      <c r="F61" s="1"/>
      <c r="G61" s="1">
        <v>-0.01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9">
        <v>150004.17000000001</v>
      </c>
      <c r="AB61" s="19"/>
      <c r="AC61" s="19">
        <f>218911.42+53273.97</f>
        <v>272185.39</v>
      </c>
      <c r="AD61" s="19"/>
      <c r="AE61" s="28">
        <v>185472.7</v>
      </c>
      <c r="AF61" s="12"/>
      <c r="AG61" s="12"/>
      <c r="AH61" s="12"/>
      <c r="AI61" s="19"/>
      <c r="AJ61" s="19"/>
      <c r="AK61" s="19"/>
      <c r="AL61" s="19"/>
      <c r="AM61" s="12"/>
      <c r="AN61" s="12"/>
      <c r="AO61" s="12"/>
      <c r="AP61" s="12"/>
      <c r="AQ61" s="39"/>
      <c r="AR61" s="39"/>
    </row>
    <row r="62" spans="1:44" x14ac:dyDescent="0.25">
      <c r="A62" s="109" t="s">
        <v>10</v>
      </c>
      <c r="B62" s="110"/>
      <c r="C62" s="1"/>
      <c r="D62" s="1"/>
      <c r="E62" s="1"/>
      <c r="F62" s="1"/>
      <c r="G62" s="1">
        <v>-67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-94199.79</v>
      </c>
      <c r="Z62" s="1"/>
      <c r="AA62" s="19">
        <f>129635</f>
        <v>129635</v>
      </c>
      <c r="AB62" s="19"/>
      <c r="AC62" s="19"/>
      <c r="AD62" s="19"/>
      <c r="AE62" s="28"/>
      <c r="AF62" s="12"/>
      <c r="AG62" s="12"/>
      <c r="AH62" s="12"/>
      <c r="AI62" s="19"/>
      <c r="AJ62" s="19"/>
      <c r="AK62" s="19"/>
      <c r="AL62" s="19"/>
      <c r="AM62" s="12"/>
      <c r="AN62" s="12"/>
      <c r="AO62" s="12"/>
      <c r="AP62" s="12"/>
      <c r="AQ62" s="39"/>
      <c r="AR62" s="39"/>
    </row>
    <row r="63" spans="1:44" x14ac:dyDescent="0.25">
      <c r="A63" s="109" t="s">
        <v>16</v>
      </c>
      <c r="B63" s="110"/>
      <c r="C63" s="1"/>
      <c r="D63" s="1"/>
      <c r="E63" s="1">
        <v>2480.69</v>
      </c>
      <c r="F63" s="1"/>
      <c r="G63" s="1">
        <f>10138.57+19589.11</f>
        <v>29727.68</v>
      </c>
      <c r="H63" s="1"/>
      <c r="I63" s="1">
        <f>14183.88+15638.22</f>
        <v>29822.1</v>
      </c>
      <c r="J63" s="1"/>
      <c r="K63" s="1"/>
      <c r="L63" s="1"/>
      <c r="M63" s="1"/>
      <c r="N63" s="1"/>
      <c r="O63" s="1">
        <v>4458.26</v>
      </c>
      <c r="P63" s="1"/>
      <c r="Q63" s="1"/>
      <c r="R63" s="1"/>
      <c r="S63" s="1"/>
      <c r="T63" s="1"/>
      <c r="U63" s="1"/>
      <c r="V63" s="1"/>
      <c r="W63" s="1"/>
      <c r="X63" s="1"/>
      <c r="Y63" s="1">
        <v>65212.44</v>
      </c>
      <c r="Z63" s="1"/>
      <c r="AA63" s="19">
        <v>153588.26999999999</v>
      </c>
      <c r="AB63" s="19">
        <v>153588.26999999999</v>
      </c>
      <c r="AC63" s="19">
        <v>1100</v>
      </c>
      <c r="AD63" s="19"/>
      <c r="AE63" s="28">
        <v>316.54000000000002</v>
      </c>
      <c r="AF63" s="12"/>
      <c r="AG63" s="12"/>
      <c r="AH63" s="12"/>
      <c r="AI63" s="19"/>
      <c r="AJ63" s="19"/>
      <c r="AK63" s="19"/>
      <c r="AL63" s="19"/>
      <c r="AM63" s="12"/>
      <c r="AN63" s="12"/>
      <c r="AO63" s="12"/>
      <c r="AP63" s="12"/>
      <c r="AQ63" s="39"/>
      <c r="AR63" s="39"/>
    </row>
    <row r="64" spans="1:44" x14ac:dyDescent="0.25">
      <c r="A64" s="111" t="s">
        <v>15</v>
      </c>
      <c r="B64" s="112"/>
      <c r="C64" s="115">
        <v>-1470.89</v>
      </c>
      <c r="D64" s="115">
        <f>SUM(D66:D70)</f>
        <v>0</v>
      </c>
      <c r="E64" s="115">
        <f t="shared" ref="E64:AB64" si="13">SUM(E66:E70)</f>
        <v>741.25</v>
      </c>
      <c r="F64" s="115">
        <f t="shared" si="13"/>
        <v>0</v>
      </c>
      <c r="G64" s="115">
        <f t="shared" si="13"/>
        <v>0</v>
      </c>
      <c r="H64" s="115">
        <f t="shared" si="13"/>
        <v>0</v>
      </c>
      <c r="I64" s="115">
        <f t="shared" si="13"/>
        <v>0</v>
      </c>
      <c r="J64" s="115">
        <f t="shared" si="13"/>
        <v>0</v>
      </c>
      <c r="K64" s="115">
        <f t="shared" si="13"/>
        <v>0</v>
      </c>
      <c r="L64" s="115">
        <f t="shared" si="13"/>
        <v>0</v>
      </c>
      <c r="M64" s="115">
        <f t="shared" si="13"/>
        <v>0</v>
      </c>
      <c r="N64" s="115">
        <f t="shared" si="13"/>
        <v>0</v>
      </c>
      <c r="O64" s="115">
        <f t="shared" si="13"/>
        <v>0</v>
      </c>
      <c r="P64" s="115">
        <f t="shared" si="13"/>
        <v>0</v>
      </c>
      <c r="Q64" s="115">
        <f t="shared" si="13"/>
        <v>0</v>
      </c>
      <c r="R64" s="115">
        <f t="shared" si="13"/>
        <v>0</v>
      </c>
      <c r="S64" s="115">
        <f t="shared" si="13"/>
        <v>0</v>
      </c>
      <c r="T64" s="115">
        <f t="shared" si="13"/>
        <v>0</v>
      </c>
      <c r="U64" s="115">
        <f t="shared" si="13"/>
        <v>0</v>
      </c>
      <c r="V64" s="115">
        <f t="shared" si="13"/>
        <v>0</v>
      </c>
      <c r="W64" s="115">
        <f t="shared" si="13"/>
        <v>0</v>
      </c>
      <c r="X64" s="115">
        <f t="shared" si="13"/>
        <v>0</v>
      </c>
      <c r="Y64" s="115">
        <f t="shared" si="13"/>
        <v>0</v>
      </c>
      <c r="Z64" s="115">
        <f t="shared" si="13"/>
        <v>0</v>
      </c>
      <c r="AA64" s="128">
        <f>AA66+AA67+AA68+AA69+AA70</f>
        <v>84248.31</v>
      </c>
      <c r="AB64" s="128">
        <f t="shared" si="13"/>
        <v>0</v>
      </c>
      <c r="AC64" s="128">
        <f>SUM(AC66:AC70)</f>
        <v>130082.92000000001</v>
      </c>
      <c r="AD64" s="128">
        <f>SUM(AD66:AD70)</f>
        <v>0</v>
      </c>
      <c r="AE64" s="126">
        <f t="shared" ref="AE64:AL64" si="14">AE66+AE67+AE68+AE69+AE70</f>
        <v>122664.07</v>
      </c>
      <c r="AF64" s="126">
        <f t="shared" si="14"/>
        <v>0</v>
      </c>
      <c r="AG64" s="126">
        <f t="shared" si="14"/>
        <v>0</v>
      </c>
      <c r="AH64" s="126">
        <f t="shared" si="14"/>
        <v>0</v>
      </c>
      <c r="AI64" s="122">
        <f t="shared" si="14"/>
        <v>45365.68</v>
      </c>
      <c r="AJ64" s="122">
        <f t="shared" si="14"/>
        <v>0</v>
      </c>
      <c r="AK64" s="122">
        <v>0</v>
      </c>
      <c r="AL64" s="122">
        <f t="shared" si="14"/>
        <v>0</v>
      </c>
      <c r="AM64" s="122">
        <f>AM66+AM67+AM68+AM69+AM70</f>
        <v>37145.199999999997</v>
      </c>
      <c r="AN64" s="122">
        <f>AN66+AN67+AN68+AN69+AN70</f>
        <v>0</v>
      </c>
      <c r="AO64" s="122">
        <f>AO66+AO67+AO68+AO69+AO70</f>
        <v>0</v>
      </c>
      <c r="AP64" s="122">
        <f>AP66+AP67+AP68+AP69+AP70</f>
        <v>0</v>
      </c>
      <c r="AQ64" s="116">
        <f>AM64/AI64-1</f>
        <v>-0.1812048226765256</v>
      </c>
      <c r="AR64" s="116" t="e">
        <f>AO64/AK64-1</f>
        <v>#DIV/0!</v>
      </c>
    </row>
    <row r="65" spans="1:44" x14ac:dyDescent="0.25">
      <c r="A65" s="113"/>
      <c r="B65" s="11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25"/>
      <c r="AB65" s="125"/>
      <c r="AC65" s="131"/>
      <c r="AD65" s="125"/>
      <c r="AE65" s="127"/>
      <c r="AF65" s="127"/>
      <c r="AG65" s="127"/>
      <c r="AH65" s="127"/>
      <c r="AI65" s="123"/>
      <c r="AJ65" s="123"/>
      <c r="AK65" s="123"/>
      <c r="AL65" s="123"/>
      <c r="AM65" s="123"/>
      <c r="AN65" s="123"/>
      <c r="AO65" s="123"/>
      <c r="AP65" s="123"/>
      <c r="AQ65" s="117"/>
      <c r="AR65" s="117"/>
    </row>
    <row r="66" spans="1:44" x14ac:dyDescent="0.25">
      <c r="A66" s="109" t="s">
        <v>11</v>
      </c>
      <c r="B66" s="110"/>
      <c r="C66" s="2"/>
      <c r="D66" s="2"/>
      <c r="E66" s="2">
        <v>741.25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6"/>
      <c r="AB66" s="16"/>
      <c r="AC66" s="16">
        <v>5034.4399999999996</v>
      </c>
      <c r="AD66" s="13"/>
      <c r="AE66" s="23">
        <v>354.61</v>
      </c>
      <c r="AF66" s="23"/>
      <c r="AG66" s="23"/>
      <c r="AH66" s="23"/>
      <c r="AI66" s="16"/>
      <c r="AJ66" s="16"/>
      <c r="AK66" s="16"/>
      <c r="AL66" s="16"/>
      <c r="AM66" s="16"/>
      <c r="AN66" s="16"/>
      <c r="AO66" s="16"/>
      <c r="AP66" s="16"/>
      <c r="AQ66" s="24"/>
      <c r="AR66" s="24"/>
    </row>
    <row r="67" spans="1:44" x14ac:dyDescent="0.25">
      <c r="A67" s="109" t="s">
        <v>8</v>
      </c>
      <c r="B67" s="110"/>
      <c r="C67" s="2"/>
      <c r="D67" s="2"/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">
        <v>53091.66</v>
      </c>
      <c r="AB67" s="16"/>
      <c r="AC67" s="16">
        <v>81730</v>
      </c>
      <c r="AD67" s="13"/>
      <c r="AE67" s="23">
        <v>82376</v>
      </c>
      <c r="AF67" s="23"/>
      <c r="AG67" s="23"/>
      <c r="AH67" s="23"/>
      <c r="AI67" s="16">
        <v>28290.47</v>
      </c>
      <c r="AJ67" s="16"/>
      <c r="AK67" s="16"/>
      <c r="AL67" s="16"/>
      <c r="AM67" s="16">
        <v>21864</v>
      </c>
      <c r="AN67" s="16"/>
      <c r="AO67" s="16"/>
      <c r="AP67" s="16"/>
      <c r="AQ67" s="24"/>
      <c r="AR67" s="24"/>
    </row>
    <row r="68" spans="1:44" x14ac:dyDescent="0.25">
      <c r="A68" s="109" t="s">
        <v>9</v>
      </c>
      <c r="B68" s="110"/>
      <c r="C68" s="2"/>
      <c r="D68" s="2"/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31156.65</v>
      </c>
      <c r="AB68" s="16"/>
      <c r="AC68" s="16">
        <v>43318.48</v>
      </c>
      <c r="AD68" s="13"/>
      <c r="AE68" s="23">
        <v>39933.46</v>
      </c>
      <c r="AF68" s="23"/>
      <c r="AG68" s="23"/>
      <c r="AH68" s="23"/>
      <c r="AI68" s="16"/>
      <c r="AJ68" s="16"/>
      <c r="AK68" s="16"/>
      <c r="AL68" s="16"/>
      <c r="AM68" s="16"/>
      <c r="AN68" s="16"/>
      <c r="AO68" s="16"/>
      <c r="AP68" s="16"/>
      <c r="AQ68" s="24"/>
      <c r="AR68" s="24"/>
    </row>
    <row r="69" spans="1:44" x14ac:dyDescent="0.25">
      <c r="A69" s="109" t="s">
        <v>10</v>
      </c>
      <c r="B69" s="1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3"/>
      <c r="AD69" s="13"/>
      <c r="AE69" s="13"/>
      <c r="AF69" s="13"/>
      <c r="AG69" s="13"/>
      <c r="AH69" s="13"/>
      <c r="AI69" s="16">
        <v>17075.21</v>
      </c>
      <c r="AJ69" s="16"/>
      <c r="AK69" s="16"/>
      <c r="AL69" s="16"/>
      <c r="AM69" s="16">
        <v>15281.2</v>
      </c>
      <c r="AN69" s="16"/>
      <c r="AO69" s="16"/>
      <c r="AP69" s="16"/>
      <c r="AQ69" s="24"/>
      <c r="AR69" s="24"/>
    </row>
    <row r="70" spans="1:44" x14ac:dyDescent="0.25">
      <c r="A70" s="109" t="s">
        <v>16</v>
      </c>
      <c r="B70" s="1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1"/>
      <c r="AR70" s="31"/>
    </row>
    <row r="71" spans="1:44" ht="60" hidden="1" x14ac:dyDescent="0.25">
      <c r="A71" s="7" t="s">
        <v>25</v>
      </c>
      <c r="B71" s="7"/>
      <c r="C71" s="9">
        <v>3090165.46</v>
      </c>
      <c r="D71" s="9">
        <v>3090165.46</v>
      </c>
      <c r="E71" s="9">
        <f>SUM(E72:E74)</f>
        <v>0</v>
      </c>
      <c r="F71" s="9">
        <f>SUM(F72:F74)</f>
        <v>0</v>
      </c>
      <c r="G71" s="9">
        <f t="shared" ref="G71:Z71" si="15">SUM(G72:G74)</f>
        <v>0</v>
      </c>
      <c r="H71" s="9">
        <f t="shared" si="15"/>
        <v>0</v>
      </c>
      <c r="I71" s="9">
        <f t="shared" si="15"/>
        <v>0</v>
      </c>
      <c r="J71" s="9">
        <f t="shared" si="15"/>
        <v>0</v>
      </c>
      <c r="K71" s="9">
        <f t="shared" si="15"/>
        <v>0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t="shared" si="15"/>
        <v>0</v>
      </c>
      <c r="V71" s="9">
        <f t="shared" si="15"/>
        <v>0</v>
      </c>
      <c r="W71" s="9">
        <f t="shared" si="15"/>
        <v>0</v>
      </c>
      <c r="X71" s="9">
        <f t="shared" si="15"/>
        <v>0</v>
      </c>
      <c r="Y71" s="9">
        <f t="shared" si="15"/>
        <v>0</v>
      </c>
      <c r="Z71" s="9">
        <f t="shared" si="15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129">
        <v>0</v>
      </c>
      <c r="AR71" s="129">
        <v>0</v>
      </c>
    </row>
    <row r="72" spans="1:44" hidden="1" x14ac:dyDescent="0.25">
      <c r="A72" s="109" t="s">
        <v>10</v>
      </c>
      <c r="B72" s="132"/>
      <c r="C72" s="2"/>
      <c r="D72" s="2"/>
      <c r="E72" s="2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130"/>
      <c r="AR72" s="130"/>
    </row>
    <row r="73" spans="1:44" hidden="1" x14ac:dyDescent="0.25">
      <c r="A73" s="133" t="s">
        <v>24</v>
      </c>
      <c r="B73" s="132"/>
      <c r="C73" s="9">
        <f>4008760.53+5844431.63+14283.75+179317.37</f>
        <v>10046793.279999999</v>
      </c>
      <c r="D73" s="9">
        <f>989699.04+1910943.77</f>
        <v>2900642.81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32"/>
      <c r="AR73" s="32"/>
    </row>
    <row r="74" spans="1:44" hidden="1" x14ac:dyDescent="0.25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33" t="s">
        <v>12</v>
      </c>
      <c r="B75" s="132"/>
      <c r="C75" s="10">
        <f>C8+C15+C22+C29+C36+C43+C50+C57+C64+C71+C73</f>
        <v>94587677.819999993</v>
      </c>
      <c r="D75" s="10">
        <f>D8+D15+D22+D29+D36+D43+D50+D57+D64+D71+D73</f>
        <v>68008770.719999999</v>
      </c>
      <c r="E75" s="10">
        <f>E8+E15+E22+E29+E36+E43+E50+E57+E64+E71</f>
        <v>85864729.75999999</v>
      </c>
      <c r="F75" s="10">
        <f>F8+F15+F22+F29+F36+F43+F50+F57+F64+F71</f>
        <v>66510808.209999993</v>
      </c>
      <c r="G75" s="10">
        <f t="shared" ref="G75:Y75" si="16">G8+G15+G22+G29+G36+G43+G50+G57+G64+G71</f>
        <v>93511066.090000018</v>
      </c>
      <c r="H75" s="10">
        <f t="shared" si="16"/>
        <v>66963948.660000004</v>
      </c>
      <c r="I75" s="10">
        <f t="shared" si="16"/>
        <v>92440148.88000001</v>
      </c>
      <c r="J75" s="10">
        <f t="shared" si="16"/>
        <v>69371696.100000009</v>
      </c>
      <c r="K75" s="10">
        <f t="shared" si="16"/>
        <v>93692017.959999993</v>
      </c>
      <c r="L75" s="10">
        <f t="shared" si="16"/>
        <v>72494645.030000001</v>
      </c>
      <c r="M75" s="10">
        <f t="shared" si="16"/>
        <v>95350288.340000004</v>
      </c>
      <c r="N75" s="10">
        <f t="shared" si="16"/>
        <v>74699098.340000004</v>
      </c>
      <c r="O75" s="10">
        <f t="shared" si="16"/>
        <v>92952938.269999996</v>
      </c>
      <c r="P75" s="10">
        <f t="shared" si="16"/>
        <v>82357876.220000014</v>
      </c>
      <c r="Q75" s="10">
        <f t="shared" si="16"/>
        <v>97449531.209999979</v>
      </c>
      <c r="R75" s="10">
        <f t="shared" si="16"/>
        <v>74441297.569999993</v>
      </c>
      <c r="S75" s="10">
        <f t="shared" si="16"/>
        <v>96755275.489999995</v>
      </c>
      <c r="T75" s="10">
        <f t="shared" si="16"/>
        <v>74719949.890000001</v>
      </c>
      <c r="U75" s="10">
        <f t="shared" si="16"/>
        <v>97352731.719999984</v>
      </c>
      <c r="V75" s="10">
        <f t="shared" si="16"/>
        <v>74918061.669999987</v>
      </c>
      <c r="W75" s="10">
        <f t="shared" si="16"/>
        <v>103431682.53</v>
      </c>
      <c r="X75" s="10">
        <f t="shared" si="16"/>
        <v>71550048.36999999</v>
      </c>
      <c r="Y75" s="10">
        <f t="shared" si="16"/>
        <v>139512827.16999999</v>
      </c>
      <c r="Z75" s="10">
        <f>Z8+Z15+Z22+Z29+Z36+Z43+Z50+Z57+Z64+Z71</f>
        <v>116277638.82999998</v>
      </c>
      <c r="AA75" s="20">
        <f>AA8+AA15+AA22+AA29+AA36+AA43+AA50+AA57+AA64+AA71</f>
        <v>136792938.08000001</v>
      </c>
      <c r="AB75" s="20">
        <f>AB8+AB15+AB22+AB29+AB36+AB43+AB50+AB57+AB64+AB71</f>
        <v>43344897.469999999</v>
      </c>
      <c r="AC75" s="20">
        <f>AC8+AC15+AC22+AC29+AC36+AC43+AC50+AC57+AC64+AC71</f>
        <v>211086618.58000001</v>
      </c>
      <c r="AD75" s="20">
        <f>AD8+AD15+AD22+AD29+AD36+AD43+AD50+AD57+AD64+AD71</f>
        <v>119975047.31999999</v>
      </c>
      <c r="AE75" s="10">
        <f t="shared" ref="AE75:AL75" si="17">AE8+AE15+AE22+AE29+AE36+AE43+AE57+AE64</f>
        <v>210062888.64999998</v>
      </c>
      <c r="AF75" s="10">
        <f t="shared" si="17"/>
        <v>99495187.609999999</v>
      </c>
      <c r="AG75" s="10">
        <f t="shared" si="17"/>
        <v>86313931.799999982</v>
      </c>
      <c r="AH75" s="10">
        <f t="shared" si="17"/>
        <v>23141374.309999999</v>
      </c>
      <c r="AI75" s="20">
        <f t="shared" si="17"/>
        <v>128946217.90000001</v>
      </c>
      <c r="AJ75" s="20">
        <f t="shared" si="17"/>
        <v>32163242.649999999</v>
      </c>
      <c r="AK75" s="20">
        <f t="shared" si="17"/>
        <v>14429840.109999999</v>
      </c>
      <c r="AL75" s="20">
        <f t="shared" si="17"/>
        <v>0</v>
      </c>
      <c r="AM75" s="40">
        <f>AM8+AM15+AM22+AM29+AM36+AM43+AM57+AM64</f>
        <v>124776005.27</v>
      </c>
      <c r="AN75" s="40">
        <f>AN8+AN15+AN22+AN29+AN36+AN43+AN57+AN64</f>
        <v>33493204.09</v>
      </c>
      <c r="AO75" s="40">
        <f>AO8+AO15+AO22+AO29+AO36+AO43+AO57+AO64</f>
        <v>7643925.0399999991</v>
      </c>
      <c r="AP75" s="40">
        <f>AP8+AP15+AP22+AP29+AP36+AP43+AP57+AP64</f>
        <v>0</v>
      </c>
      <c r="AQ75" s="35">
        <f>AM75/AI75-1</f>
        <v>-3.2340713034593072E-2</v>
      </c>
      <c r="AR75" s="35">
        <f>AO75/AK75-1</f>
        <v>-0.4702695953850039</v>
      </c>
    </row>
    <row r="76" spans="1:44" x14ac:dyDescent="0.25">
      <c r="A76" s="109" t="s">
        <v>11</v>
      </c>
      <c r="B76" s="132"/>
      <c r="C76" s="2">
        <f t="shared" ref="C76:AD80" si="18">C10+C17+C24+C31+C38+C45+C52+C59+C66</f>
        <v>0</v>
      </c>
      <c r="D76" s="2">
        <f t="shared" si="18"/>
        <v>0</v>
      </c>
      <c r="E76" s="2">
        <f t="shared" si="18"/>
        <v>17953226.410000004</v>
      </c>
      <c r="F76" s="2">
        <f t="shared" si="18"/>
        <v>6382951.8399999943</v>
      </c>
      <c r="G76" s="2">
        <f t="shared" si="18"/>
        <v>19216097.170000002</v>
      </c>
      <c r="H76" s="2">
        <f t="shared" si="18"/>
        <v>6555841.7200000007</v>
      </c>
      <c r="I76" s="2">
        <f t="shared" si="18"/>
        <v>22865503.460000001</v>
      </c>
      <c r="J76" s="2">
        <f t="shared" si="18"/>
        <v>5864947.9199999999</v>
      </c>
      <c r="K76" s="2">
        <f t="shared" si="18"/>
        <v>17090632.079999998</v>
      </c>
      <c r="L76" s="2">
        <f t="shared" si="18"/>
        <v>5837825.0099999998</v>
      </c>
      <c r="M76" s="2">
        <f t="shared" si="18"/>
        <v>16099291.18</v>
      </c>
      <c r="N76" s="2">
        <f t="shared" si="18"/>
        <v>7784857.7199999997</v>
      </c>
      <c r="O76" s="2">
        <f t="shared" si="18"/>
        <v>16094244.300000001</v>
      </c>
      <c r="P76" s="2">
        <f t="shared" si="18"/>
        <v>7902977.2199999997</v>
      </c>
      <c r="Q76" s="2">
        <f t="shared" si="18"/>
        <v>20791692.359999999</v>
      </c>
      <c r="R76" s="2">
        <f t="shared" si="18"/>
        <v>7175180.9199999999</v>
      </c>
      <c r="S76" s="2">
        <f t="shared" si="18"/>
        <v>20070445.379999999</v>
      </c>
      <c r="T76" s="2">
        <f t="shared" si="18"/>
        <v>6987489.4900000002</v>
      </c>
      <c r="U76" s="2">
        <f t="shared" si="18"/>
        <v>24410984.270000003</v>
      </c>
      <c r="V76" s="2">
        <f t="shared" si="18"/>
        <v>4182653.4699999997</v>
      </c>
      <c r="W76" s="2">
        <f t="shared" si="18"/>
        <v>34358661.780000001</v>
      </c>
      <c r="X76" s="2">
        <f t="shared" si="18"/>
        <v>4756662.17</v>
      </c>
      <c r="Y76" s="2">
        <f t="shared" si="18"/>
        <v>37550191.880000003</v>
      </c>
      <c r="Z76" s="2">
        <f t="shared" si="18"/>
        <v>19969076.690000001</v>
      </c>
      <c r="AA76" s="16">
        <f t="shared" si="18"/>
        <v>78679277.219999999</v>
      </c>
      <c r="AB76" s="16">
        <f t="shared" si="18"/>
        <v>28544503.479999997</v>
      </c>
      <c r="AC76" s="16">
        <f t="shared" si="18"/>
        <v>97897786.019999981</v>
      </c>
      <c r="AD76" s="16">
        <f t="shared" si="18"/>
        <v>50095879.390000001</v>
      </c>
      <c r="AE76" s="23">
        <f t="shared" ref="AE76:AP80" si="19">AE10+AE17+AE24+AE31+AE38+AE45+AE59+AE66</f>
        <v>108565286.30999999</v>
      </c>
      <c r="AF76" s="23">
        <f>AF10+AF17+AF24+AF31+AF38+AF45+AF59+AF66</f>
        <v>66674832.540000007</v>
      </c>
      <c r="AG76" s="23">
        <f t="shared" si="19"/>
        <v>32847516.43</v>
      </c>
      <c r="AH76" s="23">
        <f t="shared" si="19"/>
        <v>21260780.43</v>
      </c>
      <c r="AI76" s="16">
        <f t="shared" si="19"/>
        <v>59026929.369999997</v>
      </c>
      <c r="AJ76" s="16">
        <f>AJ10+AJ17+AJ24+AJ31+AJ38+AJ45+AJ59+AJ66</f>
        <v>219982.55</v>
      </c>
      <c r="AK76" s="16">
        <f t="shared" si="19"/>
        <v>3777110.1399999997</v>
      </c>
      <c r="AL76" s="16">
        <f t="shared" si="19"/>
        <v>0</v>
      </c>
      <c r="AM76" s="16">
        <f>AM10+AM17+AM24+AM31+AM38+AM45+AM59+AM66</f>
        <v>65258364.489999995</v>
      </c>
      <c r="AN76" s="16">
        <f>AN10+AN17+AN24+AN31+AN38+AN45+AN59+AN66</f>
        <v>753291.85000000009</v>
      </c>
      <c r="AO76" s="16">
        <f>AO10+AO17+AO24+AO31+AO38+AO45+AO59+AO66</f>
        <v>3694778.19</v>
      </c>
      <c r="AP76" s="16">
        <f>AP10+AP17+AP24+AP31+AP38+AP45+AP59+AP66</f>
        <v>0</v>
      </c>
      <c r="AQ76" s="36"/>
      <c r="AR76" s="36"/>
    </row>
    <row r="77" spans="1:44" x14ac:dyDescent="0.25">
      <c r="A77" s="109" t="s">
        <v>8</v>
      </c>
      <c r="B77" s="132"/>
      <c r="C77" s="2">
        <f t="shared" si="18"/>
        <v>0</v>
      </c>
      <c r="D77" s="2">
        <f t="shared" si="18"/>
        <v>0</v>
      </c>
      <c r="E77" s="2">
        <f t="shared" si="18"/>
        <v>0</v>
      </c>
      <c r="F77" s="2">
        <f t="shared" si="18"/>
        <v>0</v>
      </c>
      <c r="G77" s="2">
        <f t="shared" si="18"/>
        <v>1611249.67</v>
      </c>
      <c r="H77" s="2">
        <f t="shared" si="18"/>
        <v>0</v>
      </c>
      <c r="I77" s="2">
        <f t="shared" si="18"/>
        <v>1404831.87</v>
      </c>
      <c r="J77" s="2">
        <f t="shared" si="18"/>
        <v>0</v>
      </c>
      <c r="K77" s="2">
        <f t="shared" si="18"/>
        <v>2089553.3599999999</v>
      </c>
      <c r="L77" s="2">
        <f t="shared" si="18"/>
        <v>0</v>
      </c>
      <c r="M77" s="2">
        <f t="shared" si="18"/>
        <v>1291836.76</v>
      </c>
      <c r="N77" s="2">
        <f t="shared" si="18"/>
        <v>0</v>
      </c>
      <c r="O77" s="2">
        <f t="shared" si="18"/>
        <v>1343049.24</v>
      </c>
      <c r="P77" s="2">
        <f t="shared" si="18"/>
        <v>0</v>
      </c>
      <c r="Q77" s="2">
        <f t="shared" si="18"/>
        <v>1452525.99</v>
      </c>
      <c r="R77" s="2">
        <f t="shared" si="18"/>
        <v>0</v>
      </c>
      <c r="S77" s="2">
        <f t="shared" si="18"/>
        <v>1242140.78</v>
      </c>
      <c r="T77" s="2">
        <f t="shared" si="18"/>
        <v>0</v>
      </c>
      <c r="U77" s="2">
        <f t="shared" si="18"/>
        <v>1196585.6499999999</v>
      </c>
      <c r="V77" s="2">
        <f t="shared" si="18"/>
        <v>0</v>
      </c>
      <c r="W77" s="2">
        <f t="shared" si="18"/>
        <v>1283435.7</v>
      </c>
      <c r="X77" s="2">
        <f t="shared" si="18"/>
        <v>0</v>
      </c>
      <c r="Y77" s="2">
        <f t="shared" si="18"/>
        <v>0</v>
      </c>
      <c r="Z77" s="2">
        <f t="shared" si="18"/>
        <v>0</v>
      </c>
      <c r="AA77" s="16">
        <f t="shared" si="18"/>
        <v>28007459.789999999</v>
      </c>
      <c r="AB77" s="16">
        <f t="shared" si="18"/>
        <v>0</v>
      </c>
      <c r="AC77" s="16">
        <f t="shared" si="18"/>
        <v>33425614.419999998</v>
      </c>
      <c r="AD77" s="16">
        <f t="shared" si="18"/>
        <v>0</v>
      </c>
      <c r="AE77" s="23">
        <f t="shared" si="19"/>
        <v>33462185.5</v>
      </c>
      <c r="AF77" s="23">
        <f t="shared" si="19"/>
        <v>18386199.240000002</v>
      </c>
      <c r="AG77" s="23">
        <f t="shared" si="19"/>
        <v>0</v>
      </c>
      <c r="AH77" s="23">
        <f t="shared" si="19"/>
        <v>0</v>
      </c>
      <c r="AI77" s="16">
        <f t="shared" si="19"/>
        <v>36363970.560000002</v>
      </c>
      <c r="AJ77" s="16">
        <f t="shared" si="19"/>
        <v>19065790.949999999</v>
      </c>
      <c r="AK77" s="16">
        <f t="shared" si="19"/>
        <v>0</v>
      </c>
      <c r="AL77" s="16">
        <f t="shared" si="19"/>
        <v>0</v>
      </c>
      <c r="AM77" s="16">
        <f t="shared" si="19"/>
        <v>35651570.230000004</v>
      </c>
      <c r="AN77" s="16">
        <f t="shared" si="19"/>
        <v>22021153.689999998</v>
      </c>
      <c r="AO77" s="16">
        <f t="shared" si="19"/>
        <v>0</v>
      </c>
      <c r="AP77" s="16">
        <f t="shared" si="19"/>
        <v>0</v>
      </c>
      <c r="AQ77" s="37"/>
      <c r="AR77" s="37"/>
    </row>
    <row r="78" spans="1:44" x14ac:dyDescent="0.25">
      <c r="A78" s="109" t="s">
        <v>9</v>
      </c>
      <c r="B78" s="132"/>
      <c r="C78" s="2">
        <f t="shared" si="18"/>
        <v>0</v>
      </c>
      <c r="D78" s="2">
        <f t="shared" si="18"/>
        <v>0</v>
      </c>
      <c r="E78" s="2">
        <f t="shared" si="18"/>
        <v>5781112.8999999994</v>
      </c>
      <c r="F78" s="2">
        <f t="shared" si="18"/>
        <v>0</v>
      </c>
      <c r="G78" s="2">
        <f t="shared" si="18"/>
        <v>841993.46</v>
      </c>
      <c r="H78" s="2">
        <f t="shared" si="18"/>
        <v>0</v>
      </c>
      <c r="I78" s="2">
        <f t="shared" si="18"/>
        <v>730672.66</v>
      </c>
      <c r="J78" s="2">
        <f t="shared" si="18"/>
        <v>0</v>
      </c>
      <c r="K78" s="2">
        <f t="shared" si="18"/>
        <v>907890.05999999994</v>
      </c>
      <c r="L78" s="2">
        <f t="shared" si="18"/>
        <v>0</v>
      </c>
      <c r="M78" s="2">
        <f t="shared" si="18"/>
        <v>596611.02</v>
      </c>
      <c r="N78" s="2">
        <f t="shared" si="18"/>
        <v>0</v>
      </c>
      <c r="O78" s="2">
        <f t="shared" si="18"/>
        <v>806056.14</v>
      </c>
      <c r="P78" s="2">
        <f t="shared" si="18"/>
        <v>0</v>
      </c>
      <c r="Q78" s="2">
        <f t="shared" si="18"/>
        <v>910579.46000000008</v>
      </c>
      <c r="R78" s="2">
        <f t="shared" si="18"/>
        <v>0</v>
      </c>
      <c r="S78" s="2">
        <f t="shared" si="18"/>
        <v>832315.84</v>
      </c>
      <c r="T78" s="2">
        <f t="shared" si="18"/>
        <v>0</v>
      </c>
      <c r="U78" s="2">
        <f t="shared" si="18"/>
        <v>786043.03</v>
      </c>
      <c r="V78" s="2">
        <f t="shared" si="18"/>
        <v>0</v>
      </c>
      <c r="W78" s="2">
        <f t="shared" si="18"/>
        <v>782576.37000000011</v>
      </c>
      <c r="X78" s="2">
        <f t="shared" si="18"/>
        <v>0</v>
      </c>
      <c r="Y78" s="2">
        <f t="shared" si="18"/>
        <v>4770499.5100000007</v>
      </c>
      <c r="Z78" s="2">
        <f t="shared" si="18"/>
        <v>0</v>
      </c>
      <c r="AA78" s="16">
        <f t="shared" si="18"/>
        <v>11517101.640000001</v>
      </c>
      <c r="AB78" s="16">
        <f t="shared" si="18"/>
        <v>0</v>
      </c>
      <c r="AC78" s="16">
        <f t="shared" si="18"/>
        <v>17564868.849999998</v>
      </c>
      <c r="AD78" s="16">
        <f t="shared" si="18"/>
        <v>11291466.59</v>
      </c>
      <c r="AE78" s="23">
        <f t="shared" si="19"/>
        <v>25972037.23</v>
      </c>
      <c r="AF78" s="23">
        <f t="shared" si="19"/>
        <v>12978010.970000001</v>
      </c>
      <c r="AG78" s="23">
        <f t="shared" si="19"/>
        <v>14772077.07</v>
      </c>
      <c r="AH78" s="23">
        <f t="shared" si="19"/>
        <v>1220473.1199999999</v>
      </c>
      <c r="AI78" s="16">
        <f t="shared" si="19"/>
        <v>19092310.379999999</v>
      </c>
      <c r="AJ78" s="16">
        <f t="shared" si="19"/>
        <v>9924703.2199999988</v>
      </c>
      <c r="AK78" s="16">
        <f t="shared" si="19"/>
        <v>0</v>
      </c>
      <c r="AL78" s="16">
        <f t="shared" si="19"/>
        <v>0</v>
      </c>
      <c r="AM78" s="16">
        <f t="shared" si="19"/>
        <v>13181581.58</v>
      </c>
      <c r="AN78" s="16">
        <f t="shared" si="19"/>
        <v>7874124.9700000007</v>
      </c>
      <c r="AO78" s="16">
        <f t="shared" si="19"/>
        <v>0</v>
      </c>
      <c r="AP78" s="16">
        <f t="shared" si="19"/>
        <v>0</v>
      </c>
      <c r="AQ78" s="37"/>
      <c r="AR78" s="37"/>
    </row>
    <row r="79" spans="1:44" x14ac:dyDescent="0.25">
      <c r="A79" s="109" t="s">
        <v>10</v>
      </c>
      <c r="B79" s="132"/>
      <c r="C79" s="2">
        <f t="shared" ref="C79:Z79" si="20">C13+C20+C27+C34+C41+C48+C55+C62+C69+C72</f>
        <v>0</v>
      </c>
      <c r="D79" s="2">
        <f t="shared" si="20"/>
        <v>0</v>
      </c>
      <c r="E79" s="2">
        <f t="shared" si="20"/>
        <v>60461371.310000002</v>
      </c>
      <c r="F79" s="2">
        <f t="shared" si="20"/>
        <v>58245420.57</v>
      </c>
      <c r="G79" s="2">
        <f t="shared" si="20"/>
        <v>69929562.310000002</v>
      </c>
      <c r="H79" s="2">
        <f t="shared" si="20"/>
        <v>58525671.140000001</v>
      </c>
      <c r="I79" s="2">
        <f t="shared" si="20"/>
        <v>65526882.990000002</v>
      </c>
      <c r="J79" s="2">
        <f t="shared" si="20"/>
        <v>61624312.380000003</v>
      </c>
      <c r="K79" s="2">
        <f t="shared" si="20"/>
        <v>71721506.659999996</v>
      </c>
      <c r="L79" s="2">
        <f t="shared" si="20"/>
        <v>64774384.220000006</v>
      </c>
      <c r="M79" s="2">
        <f t="shared" si="20"/>
        <v>75480113.579999998</v>
      </c>
      <c r="N79" s="2">
        <f t="shared" si="20"/>
        <v>65031804.82</v>
      </c>
      <c r="O79" s="2">
        <f t="shared" si="20"/>
        <v>72791361.200000003</v>
      </c>
      <c r="P79" s="2">
        <f t="shared" si="20"/>
        <v>72572463.200000003</v>
      </c>
      <c r="Q79" s="2">
        <f t="shared" si="20"/>
        <v>72380297.609999999</v>
      </c>
      <c r="R79" s="2">
        <f t="shared" si="20"/>
        <v>65383680.850000001</v>
      </c>
      <c r="S79" s="2">
        <f t="shared" si="20"/>
        <v>72695876.399999991</v>
      </c>
      <c r="T79" s="2">
        <f t="shared" si="20"/>
        <v>65850024.600000001</v>
      </c>
      <c r="U79" s="2">
        <f t="shared" si="20"/>
        <v>69041659.049999997</v>
      </c>
      <c r="V79" s="2">
        <f t="shared" si="20"/>
        <v>68852972.399999991</v>
      </c>
      <c r="W79" s="2">
        <f t="shared" si="20"/>
        <v>65102023.400000006</v>
      </c>
      <c r="X79" s="2">
        <f t="shared" si="20"/>
        <v>64910950.400000006</v>
      </c>
      <c r="Y79" s="2">
        <f t="shared" si="20"/>
        <v>66208215.299999997</v>
      </c>
      <c r="Z79" s="2">
        <f t="shared" si="20"/>
        <v>65394874.099999994</v>
      </c>
      <c r="AA79" s="16">
        <f t="shared" si="18"/>
        <v>14182522.93</v>
      </c>
      <c r="AB79" s="16">
        <f t="shared" si="18"/>
        <v>12430432.640000001</v>
      </c>
      <c r="AC79" s="16">
        <f t="shared" si="18"/>
        <v>21845555.419999998</v>
      </c>
      <c r="AD79" s="16">
        <f t="shared" si="18"/>
        <v>20453326.48</v>
      </c>
      <c r="AE79" s="23">
        <f t="shared" si="19"/>
        <v>8512543.2200000007</v>
      </c>
      <c r="AF79" s="23">
        <f t="shared" si="19"/>
        <v>93556.36</v>
      </c>
      <c r="AG79" s="23">
        <f t="shared" si="19"/>
        <v>7493731.0800000001</v>
      </c>
      <c r="AH79" s="23">
        <f t="shared" si="19"/>
        <v>0</v>
      </c>
      <c r="AI79" s="16">
        <f t="shared" si="19"/>
        <v>6592704.9900000012</v>
      </c>
      <c r="AJ79" s="16">
        <f t="shared" si="19"/>
        <v>92285.57</v>
      </c>
      <c r="AK79" s="16">
        <f t="shared" si="19"/>
        <v>5647572.7300000004</v>
      </c>
      <c r="AL79" s="16">
        <f t="shared" si="19"/>
        <v>0</v>
      </c>
      <c r="AM79" s="16">
        <f t="shared" si="19"/>
        <v>7927285</v>
      </c>
      <c r="AN79" s="16">
        <f t="shared" si="19"/>
        <v>87429.61</v>
      </c>
      <c r="AO79" s="16">
        <f t="shared" si="19"/>
        <v>3949146.8499999996</v>
      </c>
      <c r="AP79" s="16">
        <f t="shared" si="19"/>
        <v>0</v>
      </c>
      <c r="AQ79" s="37"/>
      <c r="AR79" s="37"/>
    </row>
    <row r="80" spans="1:44" x14ac:dyDescent="0.25">
      <c r="A80" s="109" t="s">
        <v>16</v>
      </c>
      <c r="B80" s="132"/>
      <c r="C80" s="2">
        <f>C14+C21+C28+C35+C42+C49+C56+C63+C70</f>
        <v>0</v>
      </c>
      <c r="D80" s="2">
        <f>D14+D21+D28+D35+D42+D49+D56+D63+D70</f>
        <v>0</v>
      </c>
      <c r="E80" s="2">
        <f t="shared" si="18"/>
        <v>1669019.14</v>
      </c>
      <c r="F80" s="2">
        <f t="shared" si="18"/>
        <v>1882435.7999999998</v>
      </c>
      <c r="G80" s="2">
        <f t="shared" si="18"/>
        <v>1912163.48</v>
      </c>
      <c r="H80" s="2">
        <f t="shared" si="18"/>
        <v>1882435.8</v>
      </c>
      <c r="I80" s="2">
        <f t="shared" si="18"/>
        <v>1912257.9000000001</v>
      </c>
      <c r="J80" s="2">
        <f t="shared" si="18"/>
        <v>1882435.8</v>
      </c>
      <c r="K80" s="2">
        <f t="shared" si="18"/>
        <v>1882435.8</v>
      </c>
      <c r="L80" s="2">
        <f t="shared" si="18"/>
        <v>1882435.8</v>
      </c>
      <c r="M80" s="2">
        <f t="shared" si="18"/>
        <v>1882435.8</v>
      </c>
      <c r="N80" s="2">
        <f t="shared" si="18"/>
        <v>1882435.8</v>
      </c>
      <c r="O80" s="2">
        <f t="shared" si="18"/>
        <v>1918227.3900000001</v>
      </c>
      <c r="P80" s="2">
        <f t="shared" si="18"/>
        <v>1882435.8</v>
      </c>
      <c r="Q80" s="2">
        <f t="shared" si="18"/>
        <v>1914435.79</v>
      </c>
      <c r="R80" s="2">
        <f t="shared" si="18"/>
        <v>1882435.8</v>
      </c>
      <c r="S80" s="2">
        <f t="shared" si="18"/>
        <v>1914497.09</v>
      </c>
      <c r="T80" s="2">
        <f t="shared" si="18"/>
        <v>1882435.8</v>
      </c>
      <c r="U80" s="2">
        <f t="shared" si="18"/>
        <v>1917459.72</v>
      </c>
      <c r="V80" s="2">
        <f t="shared" si="18"/>
        <v>1882435.8</v>
      </c>
      <c r="W80" s="2">
        <f t="shared" si="18"/>
        <v>1904985.28</v>
      </c>
      <c r="X80" s="2">
        <f t="shared" si="18"/>
        <v>1882435.8</v>
      </c>
      <c r="Y80" s="2">
        <f t="shared" si="18"/>
        <v>30983920.480000004</v>
      </c>
      <c r="Z80" s="2">
        <f t="shared" si="18"/>
        <v>30913688.039999999</v>
      </c>
      <c r="AA80" s="16">
        <f t="shared" si="18"/>
        <v>4406576.5</v>
      </c>
      <c r="AB80" s="16">
        <f t="shared" si="18"/>
        <v>2369961.35</v>
      </c>
      <c r="AC80" s="16">
        <f t="shared" si="18"/>
        <v>40352793.869999997</v>
      </c>
      <c r="AD80" s="16">
        <f t="shared" si="18"/>
        <v>38134374.859999999</v>
      </c>
      <c r="AE80" s="23">
        <f t="shared" si="19"/>
        <v>33550836.390000001</v>
      </c>
      <c r="AF80" s="23">
        <f t="shared" si="19"/>
        <v>1362588.5</v>
      </c>
      <c r="AG80" s="23">
        <f t="shared" si="19"/>
        <v>31200607.219999999</v>
      </c>
      <c r="AH80" s="23">
        <f t="shared" si="19"/>
        <v>660120.76</v>
      </c>
      <c r="AI80" s="16">
        <f t="shared" si="19"/>
        <v>7870302.5999999996</v>
      </c>
      <c r="AJ80" s="16">
        <f t="shared" si="19"/>
        <v>2860480.3600000003</v>
      </c>
      <c r="AK80" s="16">
        <f t="shared" si="19"/>
        <v>5005157.24</v>
      </c>
      <c r="AL80" s="16">
        <f t="shared" si="19"/>
        <v>0</v>
      </c>
      <c r="AM80" s="16">
        <f t="shared" si="19"/>
        <v>2757203.97</v>
      </c>
      <c r="AN80" s="16">
        <f t="shared" si="19"/>
        <v>2757203.97</v>
      </c>
      <c r="AO80" s="16">
        <f t="shared" si="19"/>
        <v>0</v>
      </c>
      <c r="AP80" s="16">
        <f t="shared" si="19"/>
        <v>0</v>
      </c>
      <c r="AQ80" s="37"/>
      <c r="AR80" s="37"/>
    </row>
    <row r="81" spans="1:44" x14ac:dyDescent="0.25">
      <c r="A81" s="133" t="s">
        <v>20</v>
      </c>
      <c r="B81" s="132"/>
      <c r="C81" s="3">
        <v>19700824</v>
      </c>
      <c r="D81" s="3"/>
      <c r="E81" s="3">
        <v>30646350</v>
      </c>
      <c r="F81" s="3"/>
      <c r="G81" s="3">
        <v>30646350</v>
      </c>
      <c r="H81" s="3"/>
      <c r="I81" s="3">
        <v>30646350</v>
      </c>
      <c r="J81" s="3"/>
      <c r="K81" s="3">
        <v>30646350</v>
      </c>
      <c r="L81" s="3"/>
      <c r="M81" s="3">
        <v>30646350</v>
      </c>
      <c r="N81" s="3"/>
      <c r="O81" s="3">
        <v>30646350</v>
      </c>
      <c r="P81" s="3"/>
      <c r="Q81" s="3">
        <v>30646350</v>
      </c>
      <c r="R81" s="3"/>
      <c r="S81" s="3">
        <v>39646350</v>
      </c>
      <c r="T81" s="3"/>
      <c r="U81" s="3">
        <v>39646350</v>
      </c>
      <c r="V81" s="3"/>
      <c r="W81" s="3">
        <v>39646350</v>
      </c>
      <c r="X81" s="3"/>
      <c r="Y81" s="3">
        <v>39592849</v>
      </c>
      <c r="Z81" s="3"/>
      <c r="AA81" s="22">
        <v>43884741</v>
      </c>
      <c r="AB81" s="18"/>
      <c r="AC81" s="22">
        <v>38729175</v>
      </c>
      <c r="AD81" s="18"/>
      <c r="AE81" s="3">
        <v>15529000</v>
      </c>
      <c r="AF81" s="18"/>
      <c r="AG81" s="18"/>
      <c r="AH81" s="18"/>
      <c r="AI81" s="22">
        <v>1250000</v>
      </c>
      <c r="AJ81" s="22"/>
      <c r="AK81" s="22"/>
      <c r="AL81" s="22"/>
      <c r="AM81" s="22">
        <v>1250000</v>
      </c>
      <c r="AN81" s="22"/>
      <c r="AO81" s="22"/>
      <c r="AP81" s="22"/>
      <c r="AQ81" s="37"/>
      <c r="AR81" s="37"/>
    </row>
    <row r="82" spans="1:44" x14ac:dyDescent="0.25">
      <c r="A82" s="133" t="s">
        <v>21</v>
      </c>
      <c r="B82" s="132"/>
      <c r="C82" s="3">
        <f t="shared" ref="C82:AA82" si="21">C75+C81</f>
        <v>114288501.81999999</v>
      </c>
      <c r="D82" s="3">
        <f t="shared" si="21"/>
        <v>68008770.719999999</v>
      </c>
      <c r="E82" s="3">
        <f t="shared" si="21"/>
        <v>116511079.75999999</v>
      </c>
      <c r="F82" s="3">
        <f t="shared" si="21"/>
        <v>66510808.209999993</v>
      </c>
      <c r="G82" s="3">
        <f t="shared" si="21"/>
        <v>124157416.09000002</v>
      </c>
      <c r="H82" s="3">
        <f t="shared" si="21"/>
        <v>66963948.660000004</v>
      </c>
      <c r="I82" s="3">
        <f t="shared" si="21"/>
        <v>123086498.88000001</v>
      </c>
      <c r="J82" s="3">
        <f t="shared" si="21"/>
        <v>69371696.100000009</v>
      </c>
      <c r="K82" s="3">
        <f t="shared" si="21"/>
        <v>124338367.95999999</v>
      </c>
      <c r="L82" s="3">
        <f t="shared" si="21"/>
        <v>72494645.030000001</v>
      </c>
      <c r="M82" s="3">
        <f t="shared" si="21"/>
        <v>125996638.34</v>
      </c>
      <c r="N82" s="3">
        <f t="shared" si="21"/>
        <v>74699098.340000004</v>
      </c>
      <c r="O82" s="3">
        <f t="shared" si="21"/>
        <v>123599288.27</v>
      </c>
      <c r="P82" s="3">
        <f t="shared" si="21"/>
        <v>82357876.220000014</v>
      </c>
      <c r="Q82" s="3">
        <f t="shared" si="21"/>
        <v>128095881.20999998</v>
      </c>
      <c r="R82" s="3">
        <f t="shared" si="21"/>
        <v>74441297.569999993</v>
      </c>
      <c r="S82" s="3">
        <f t="shared" si="21"/>
        <v>136401625.49000001</v>
      </c>
      <c r="T82" s="3">
        <f t="shared" si="21"/>
        <v>74719949.890000001</v>
      </c>
      <c r="U82" s="3">
        <f t="shared" si="21"/>
        <v>136999081.71999997</v>
      </c>
      <c r="V82" s="3">
        <f t="shared" si="21"/>
        <v>74918061.669999987</v>
      </c>
      <c r="W82" s="3">
        <f t="shared" si="21"/>
        <v>143078032.53</v>
      </c>
      <c r="X82" s="3">
        <f t="shared" si="21"/>
        <v>71550048.36999999</v>
      </c>
      <c r="Y82" s="3">
        <f t="shared" si="21"/>
        <v>179105676.16999999</v>
      </c>
      <c r="Z82" s="3">
        <f t="shared" si="21"/>
        <v>116277638.82999998</v>
      </c>
      <c r="AA82" s="22">
        <f t="shared" si="21"/>
        <v>180677679.08000001</v>
      </c>
      <c r="AB82" s="22">
        <f>AB75+AB81</f>
        <v>43344897.469999999</v>
      </c>
      <c r="AC82" s="22">
        <f t="shared" ref="AC82:AP82" si="22">AC75+AC81</f>
        <v>249815793.58000001</v>
      </c>
      <c r="AD82" s="22">
        <f t="shared" si="22"/>
        <v>119975047.31999999</v>
      </c>
      <c r="AE82" s="3">
        <f t="shared" si="22"/>
        <v>225591888.64999998</v>
      </c>
      <c r="AF82" s="3">
        <f t="shared" si="22"/>
        <v>99495187.609999999</v>
      </c>
      <c r="AG82" s="3">
        <f t="shared" si="22"/>
        <v>86313931.799999982</v>
      </c>
      <c r="AH82" s="3">
        <f t="shared" si="22"/>
        <v>23141374.309999999</v>
      </c>
      <c r="AI82" s="22">
        <f t="shared" si="22"/>
        <v>130196217.90000001</v>
      </c>
      <c r="AJ82" s="22">
        <f t="shared" si="22"/>
        <v>32163242.649999999</v>
      </c>
      <c r="AK82" s="22">
        <f t="shared" si="22"/>
        <v>14429840.109999999</v>
      </c>
      <c r="AL82" s="22">
        <f t="shared" si="22"/>
        <v>0</v>
      </c>
      <c r="AM82" s="22">
        <f t="shared" si="22"/>
        <v>126026005.27</v>
      </c>
      <c r="AN82" s="22">
        <f t="shared" si="22"/>
        <v>33493204.09</v>
      </c>
      <c r="AO82" s="22">
        <f t="shared" si="22"/>
        <v>7643925.0399999991</v>
      </c>
      <c r="AP82" s="22">
        <f t="shared" si="22"/>
        <v>0</v>
      </c>
      <c r="AQ82" s="36">
        <f>AM82/AI82-1</f>
        <v>-3.2030213298538612E-2</v>
      </c>
      <c r="AR82" s="36">
        <f>AO82/AK82-1</f>
        <v>-0.4702695953850039</v>
      </c>
    </row>
    <row r="83" spans="1:44" x14ac:dyDescent="0.25">
      <c r="A83" s="109" t="s">
        <v>22</v>
      </c>
      <c r="B83" s="13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1:44" x14ac:dyDescent="0.25">
      <c r="A84" s="109" t="s">
        <v>27</v>
      </c>
      <c r="B84" s="132"/>
      <c r="C84" s="4">
        <v>102575991</v>
      </c>
      <c r="D84" s="4">
        <v>63430848.460000001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x14ac:dyDescent="0.25">
      <c r="A85" s="109" t="s">
        <v>26</v>
      </c>
      <c r="B85" s="132"/>
      <c r="C85" s="4">
        <f>C82-C84</f>
        <v>11712510.819999993</v>
      </c>
      <c r="D85" s="4">
        <f>D82-D84</f>
        <v>4577922.2599999979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x14ac:dyDescent="0.25">
      <c r="A86" s="109" t="s">
        <v>40</v>
      </c>
      <c r="B86" s="13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1">
        <v>2369961.35</v>
      </c>
      <c r="AB86" s="21">
        <v>2369961.35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</sheetData>
  <mergeCells count="452"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Q71:AQ72"/>
    <mergeCell ref="AR71:AR72"/>
    <mergeCell ref="A72:B72"/>
    <mergeCell ref="A73:B73"/>
    <mergeCell ref="AP64:AP65"/>
    <mergeCell ref="AQ64:AQ65"/>
    <mergeCell ref="AR64:AR65"/>
    <mergeCell ref="A66:B66"/>
    <mergeCell ref="A67:B67"/>
    <mergeCell ref="A68:B68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F64:F65"/>
    <mergeCell ref="G64:G65"/>
    <mergeCell ref="H64:H65"/>
    <mergeCell ref="I64:I65"/>
    <mergeCell ref="J64:J65"/>
    <mergeCell ref="K64:K65"/>
    <mergeCell ref="A62:B62"/>
    <mergeCell ref="A63:B63"/>
    <mergeCell ref="A64:B65"/>
    <mergeCell ref="C64:C65"/>
    <mergeCell ref="D64:D65"/>
    <mergeCell ref="E64:E65"/>
    <mergeCell ref="AP57:AP58"/>
    <mergeCell ref="AQ57:AQ58"/>
    <mergeCell ref="AR57:AR58"/>
    <mergeCell ref="A59:B59"/>
    <mergeCell ref="A60:B60"/>
    <mergeCell ref="A61:B61"/>
    <mergeCell ref="AJ57:AJ58"/>
    <mergeCell ref="AK57:AK58"/>
    <mergeCell ref="AL57:AL58"/>
    <mergeCell ref="AM57:AM58"/>
    <mergeCell ref="AN57:AN58"/>
    <mergeCell ref="AO57:AO58"/>
    <mergeCell ref="AD57:AD58"/>
    <mergeCell ref="AE57:AE58"/>
    <mergeCell ref="AF57:AF58"/>
    <mergeCell ref="AG57:AG58"/>
    <mergeCell ref="AH57:AH58"/>
    <mergeCell ref="AI57:AI58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A55:B55"/>
    <mergeCell ref="A56:B56"/>
    <mergeCell ref="A57:B58"/>
    <mergeCell ref="C57:C58"/>
    <mergeCell ref="D57:D58"/>
    <mergeCell ref="E57:E58"/>
    <mergeCell ref="Z50:Z51"/>
    <mergeCell ref="AQ50:AQ51"/>
    <mergeCell ref="AR50:AR51"/>
    <mergeCell ref="A52:B52"/>
    <mergeCell ref="A53:B53"/>
    <mergeCell ref="A54:B54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50:B51"/>
    <mergeCell ref="C50:C51"/>
    <mergeCell ref="D50:D51"/>
    <mergeCell ref="E50:E51"/>
    <mergeCell ref="F50:F51"/>
    <mergeCell ref="G50:G51"/>
    <mergeCell ref="AR43:AR44"/>
    <mergeCell ref="A45:B45"/>
    <mergeCell ref="A46:B46"/>
    <mergeCell ref="A47:B47"/>
    <mergeCell ref="A48:B48"/>
    <mergeCell ref="A49:B49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43:B44"/>
    <mergeCell ref="C43:C44"/>
    <mergeCell ref="D43:D44"/>
    <mergeCell ref="E43:E44"/>
    <mergeCell ref="F43:F44"/>
    <mergeCell ref="G43:G44"/>
    <mergeCell ref="AR36:AR37"/>
    <mergeCell ref="A38:B38"/>
    <mergeCell ref="A39:B39"/>
    <mergeCell ref="A40:B40"/>
    <mergeCell ref="A41:B41"/>
    <mergeCell ref="A42:B42"/>
    <mergeCell ref="AL36:AL37"/>
    <mergeCell ref="AM36:AM37"/>
    <mergeCell ref="AN36:AN37"/>
    <mergeCell ref="AO36:AO37"/>
    <mergeCell ref="AP36:AP37"/>
    <mergeCell ref="AQ36:AQ37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B37"/>
    <mergeCell ref="C36:C37"/>
    <mergeCell ref="D36:D37"/>
    <mergeCell ref="E36:E37"/>
    <mergeCell ref="F36:F37"/>
    <mergeCell ref="G36:G37"/>
    <mergeCell ref="AR29:AR30"/>
    <mergeCell ref="A31:B31"/>
    <mergeCell ref="A32:B32"/>
    <mergeCell ref="A33:B33"/>
    <mergeCell ref="A34:B34"/>
    <mergeCell ref="A35:B35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AR22:AR23"/>
    <mergeCell ref="A24:B24"/>
    <mergeCell ref="A25:B25"/>
    <mergeCell ref="A26:B26"/>
    <mergeCell ref="A27:B27"/>
    <mergeCell ref="A28:B28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B23"/>
    <mergeCell ref="C22:C23"/>
    <mergeCell ref="D22:D23"/>
    <mergeCell ref="E22:E23"/>
    <mergeCell ref="F22:F23"/>
    <mergeCell ref="G22:G23"/>
    <mergeCell ref="AR15:AR16"/>
    <mergeCell ref="A17:B17"/>
    <mergeCell ref="A18:B18"/>
    <mergeCell ref="A19:B19"/>
    <mergeCell ref="A20:B20"/>
    <mergeCell ref="A21:B21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15:B16"/>
    <mergeCell ref="C15:C16"/>
    <mergeCell ref="D15:D16"/>
    <mergeCell ref="E15:E16"/>
    <mergeCell ref="F15:F16"/>
    <mergeCell ref="G15:G16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Y8:Y9"/>
    <mergeCell ref="N8:N9"/>
    <mergeCell ref="O8:O9"/>
    <mergeCell ref="W8:W9"/>
    <mergeCell ref="X8:X9"/>
    <mergeCell ref="P8:P9"/>
    <mergeCell ref="Q8:Q9"/>
    <mergeCell ref="R8:R9"/>
    <mergeCell ref="S8:S9"/>
    <mergeCell ref="AR8:AR9"/>
    <mergeCell ref="A10:B10"/>
    <mergeCell ref="AQ8:AQ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R6"/>
    <mergeCell ref="Y5:Z6"/>
    <mergeCell ref="AA5:AB6"/>
    <mergeCell ref="AC5:AD6"/>
    <mergeCell ref="AE5:AH6"/>
    <mergeCell ref="AI5:AL6"/>
    <mergeCell ref="AM5:AP6"/>
    <mergeCell ref="S5:T6"/>
    <mergeCell ref="U5:V6"/>
    <mergeCell ref="W5:X6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86"/>
  <sheetViews>
    <sheetView workbookViewId="0">
      <selection activeCell="AN29" sqref="AN29:AN30"/>
    </sheetView>
  </sheetViews>
  <sheetFormatPr defaultRowHeight="15" x14ac:dyDescent="0.25"/>
  <cols>
    <col min="2" max="2" width="10.85546875" customWidth="1"/>
    <col min="3" max="3" width="13.7109375" hidden="1" customWidth="1"/>
    <col min="4" max="4" width="12.7109375" hidden="1" customWidth="1"/>
    <col min="5" max="5" width="14" hidden="1" customWidth="1"/>
    <col min="6" max="6" width="12.28515625" hidden="1" customWidth="1"/>
    <col min="7" max="7" width="12.5703125" hidden="1" customWidth="1"/>
    <col min="8" max="8" width="12.7109375" hidden="1" customWidth="1"/>
    <col min="9" max="9" width="14.140625" hidden="1" customWidth="1"/>
    <col min="10" max="10" width="14" hidden="1" customWidth="1"/>
    <col min="11" max="11" width="12.7109375" hidden="1" customWidth="1"/>
    <col min="12" max="12" width="13.85546875" hidden="1" customWidth="1"/>
    <col min="13" max="13" width="15.140625" hidden="1" customWidth="1"/>
    <col min="14" max="14" width="13.7109375" hidden="1" customWidth="1"/>
    <col min="15" max="15" width="13.140625" hidden="1" customWidth="1"/>
    <col min="16" max="16" width="13.85546875" hidden="1" customWidth="1"/>
    <col min="17" max="17" width="14.28515625" hidden="1" customWidth="1"/>
    <col min="18" max="18" width="14.42578125" hidden="1" customWidth="1"/>
    <col min="19" max="19" width="15" hidden="1" customWidth="1"/>
    <col min="20" max="20" width="13.28515625" hidden="1" customWidth="1"/>
    <col min="21" max="21" width="16" hidden="1" customWidth="1"/>
    <col min="22" max="22" width="13.140625" hidden="1" customWidth="1"/>
    <col min="23" max="23" width="13.28515625" hidden="1" customWidth="1"/>
    <col min="24" max="24" width="14.140625" hidden="1" customWidth="1"/>
    <col min="25" max="25" width="14.28515625" hidden="1" customWidth="1"/>
    <col min="26" max="26" width="13.28515625" hidden="1" customWidth="1"/>
    <col min="27" max="27" width="13.42578125" hidden="1" customWidth="1"/>
    <col min="28" max="28" width="12.5703125" hidden="1" customWidth="1"/>
    <col min="29" max="29" width="13.28515625" customWidth="1"/>
    <col min="30" max="42" width="14" customWidth="1"/>
    <col min="44" max="44" width="11.5703125" customWidth="1"/>
  </cols>
  <sheetData>
    <row r="1" spans="1:44" x14ac:dyDescent="0.25">
      <c r="B1" s="77" t="s">
        <v>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4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4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4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4" x14ac:dyDescent="0.25">
      <c r="A5" s="79" t="s">
        <v>0</v>
      </c>
      <c r="B5" s="80"/>
      <c r="C5" s="85" t="s">
        <v>28</v>
      </c>
      <c r="D5" s="86"/>
      <c r="E5" s="85" t="s">
        <v>29</v>
      </c>
      <c r="F5" s="86"/>
      <c r="G5" s="85" t="s">
        <v>30</v>
      </c>
      <c r="H5" s="86"/>
      <c r="I5" s="85" t="s">
        <v>31</v>
      </c>
      <c r="J5" s="86"/>
      <c r="K5" s="85" t="s">
        <v>32</v>
      </c>
      <c r="L5" s="86"/>
      <c r="M5" s="85" t="s">
        <v>33</v>
      </c>
      <c r="N5" s="86"/>
      <c r="O5" s="85" t="s">
        <v>34</v>
      </c>
      <c r="P5" s="86"/>
      <c r="Q5" s="85" t="s">
        <v>35</v>
      </c>
      <c r="R5" s="86"/>
      <c r="S5" s="85" t="s">
        <v>36</v>
      </c>
      <c r="T5" s="86"/>
      <c r="U5" s="85" t="s">
        <v>37</v>
      </c>
      <c r="V5" s="86"/>
      <c r="W5" s="85" t="s">
        <v>38</v>
      </c>
      <c r="X5" s="86"/>
      <c r="Y5" s="85" t="s">
        <v>39</v>
      </c>
      <c r="Z5" s="86"/>
      <c r="AA5" s="85" t="s">
        <v>41</v>
      </c>
      <c r="AB5" s="100"/>
      <c r="AC5" s="89">
        <v>42736</v>
      </c>
      <c r="AD5" s="100"/>
      <c r="AE5" s="89">
        <v>43101</v>
      </c>
      <c r="AF5" s="90"/>
      <c r="AG5" s="90"/>
      <c r="AH5" s="91"/>
      <c r="AI5" s="95">
        <v>43466</v>
      </c>
      <c r="AJ5" s="90"/>
      <c r="AK5" s="90"/>
      <c r="AL5" s="91"/>
      <c r="AM5" s="89">
        <v>43556</v>
      </c>
      <c r="AN5" s="90"/>
      <c r="AO5" s="90"/>
      <c r="AP5" s="91"/>
      <c r="AQ5" s="96" t="s">
        <v>7</v>
      </c>
      <c r="AR5" s="97"/>
    </row>
    <row r="6" spans="1:44" x14ac:dyDescent="0.25">
      <c r="A6" s="81"/>
      <c r="B6" s="82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87"/>
      <c r="V6" s="88"/>
      <c r="W6" s="87"/>
      <c r="X6" s="88"/>
      <c r="Y6" s="87"/>
      <c r="Z6" s="88"/>
      <c r="AA6" s="101"/>
      <c r="AB6" s="102"/>
      <c r="AC6" s="101"/>
      <c r="AD6" s="102"/>
      <c r="AE6" s="92"/>
      <c r="AF6" s="93"/>
      <c r="AG6" s="93"/>
      <c r="AH6" s="94"/>
      <c r="AI6" s="92"/>
      <c r="AJ6" s="93"/>
      <c r="AK6" s="93"/>
      <c r="AL6" s="94"/>
      <c r="AM6" s="92"/>
      <c r="AN6" s="93"/>
      <c r="AO6" s="93"/>
      <c r="AP6" s="94"/>
      <c r="AQ6" s="98"/>
      <c r="AR6" s="99"/>
    </row>
    <row r="7" spans="1:44" ht="45" x14ac:dyDescent="0.25">
      <c r="A7" s="83"/>
      <c r="B7" s="84"/>
      <c r="C7" s="11" t="s">
        <v>5</v>
      </c>
      <c r="D7" s="11" t="s">
        <v>13</v>
      </c>
      <c r="E7" s="11" t="s">
        <v>5</v>
      </c>
      <c r="F7" s="11" t="s">
        <v>13</v>
      </c>
      <c r="G7" s="11" t="s">
        <v>5</v>
      </c>
      <c r="H7" s="11" t="s">
        <v>13</v>
      </c>
      <c r="I7" s="11" t="s">
        <v>5</v>
      </c>
      <c r="J7" s="11" t="s">
        <v>13</v>
      </c>
      <c r="K7" s="11" t="s">
        <v>5</v>
      </c>
      <c r="L7" s="11" t="s">
        <v>13</v>
      </c>
      <c r="M7" s="11" t="s">
        <v>5</v>
      </c>
      <c r="N7" s="11" t="s">
        <v>13</v>
      </c>
      <c r="O7" s="11" t="s">
        <v>5</v>
      </c>
      <c r="P7" s="11" t="s">
        <v>13</v>
      </c>
      <c r="Q7" s="11" t="s">
        <v>5</v>
      </c>
      <c r="R7" s="11" t="s">
        <v>13</v>
      </c>
      <c r="S7" s="11" t="s">
        <v>5</v>
      </c>
      <c r="T7" s="11" t="s">
        <v>13</v>
      </c>
      <c r="U7" s="11" t="s">
        <v>5</v>
      </c>
      <c r="V7" s="11" t="s">
        <v>13</v>
      </c>
      <c r="W7" s="11" t="s">
        <v>5</v>
      </c>
      <c r="X7" s="11" t="s">
        <v>13</v>
      </c>
      <c r="Y7" s="11" t="s">
        <v>5</v>
      </c>
      <c r="Z7" s="11" t="s">
        <v>13</v>
      </c>
      <c r="AA7" s="17" t="s">
        <v>5</v>
      </c>
      <c r="AB7" s="11" t="s">
        <v>43</v>
      </c>
      <c r="AC7" s="24" t="s">
        <v>5</v>
      </c>
      <c r="AD7" s="24" t="s">
        <v>43</v>
      </c>
      <c r="AE7" s="24" t="s">
        <v>45</v>
      </c>
      <c r="AF7" s="24" t="s">
        <v>44</v>
      </c>
      <c r="AG7" s="24" t="s">
        <v>46</v>
      </c>
      <c r="AH7" s="24" t="s">
        <v>44</v>
      </c>
      <c r="AI7" s="24" t="s">
        <v>45</v>
      </c>
      <c r="AJ7" s="24" t="s">
        <v>44</v>
      </c>
      <c r="AK7" s="24" t="s">
        <v>46</v>
      </c>
      <c r="AL7" s="24" t="s">
        <v>44</v>
      </c>
      <c r="AM7" s="24" t="s">
        <v>45</v>
      </c>
      <c r="AN7" s="24" t="s">
        <v>44</v>
      </c>
      <c r="AO7" s="24" t="s">
        <v>46</v>
      </c>
      <c r="AP7" s="24" t="s">
        <v>44</v>
      </c>
      <c r="AQ7" s="11" t="s">
        <v>6</v>
      </c>
      <c r="AR7" s="11" t="s">
        <v>14</v>
      </c>
    </row>
    <row r="8" spans="1:44" x14ac:dyDescent="0.25">
      <c r="A8" s="103" t="s">
        <v>47</v>
      </c>
      <c r="B8" s="104"/>
      <c r="C8" s="107">
        <v>4339281.38</v>
      </c>
      <c r="D8" s="107">
        <v>301680.46000000002</v>
      </c>
      <c r="E8" s="107">
        <f t="shared" ref="E8:AD8" si="0">SUM(E10:E14)</f>
        <v>1585306.45</v>
      </c>
      <c r="F8" s="107">
        <f t="shared" si="0"/>
        <v>1801203.7999999998</v>
      </c>
      <c r="G8" s="107">
        <f t="shared" si="0"/>
        <v>1880710.93</v>
      </c>
      <c r="H8" s="107">
        <f t="shared" si="0"/>
        <v>1726285.8</v>
      </c>
      <c r="I8" s="107">
        <f t="shared" si="0"/>
        <v>2043940.37</v>
      </c>
      <c r="J8" s="107">
        <f t="shared" si="0"/>
        <v>1726285.8</v>
      </c>
      <c r="K8" s="107">
        <f t="shared" si="0"/>
        <v>1800545.93</v>
      </c>
      <c r="L8" s="107">
        <f t="shared" si="0"/>
        <v>1726285.8</v>
      </c>
      <c r="M8" s="107">
        <f t="shared" si="0"/>
        <v>1791783.17</v>
      </c>
      <c r="N8" s="107">
        <f t="shared" si="0"/>
        <v>1726285.8</v>
      </c>
      <c r="O8" s="107">
        <f t="shared" si="0"/>
        <v>1777486.53</v>
      </c>
      <c r="P8" s="107">
        <f t="shared" si="0"/>
        <v>1726285.8</v>
      </c>
      <c r="Q8" s="107">
        <f t="shared" si="0"/>
        <v>1764579</v>
      </c>
      <c r="R8" s="107">
        <f t="shared" si="0"/>
        <v>1726285.8</v>
      </c>
      <c r="S8" s="107">
        <f t="shared" si="0"/>
        <v>1758347.09</v>
      </c>
      <c r="T8" s="107">
        <f t="shared" si="0"/>
        <v>1726285.8</v>
      </c>
      <c r="U8" s="107">
        <f t="shared" si="0"/>
        <v>1761309.72</v>
      </c>
      <c r="V8" s="107">
        <f t="shared" si="0"/>
        <v>1726285.8</v>
      </c>
      <c r="W8" s="107">
        <f t="shared" si="0"/>
        <v>1748835.28</v>
      </c>
      <c r="X8" s="107">
        <f t="shared" si="0"/>
        <v>1726285.8</v>
      </c>
      <c r="Y8" s="107">
        <f t="shared" si="0"/>
        <v>1009374.5399999999</v>
      </c>
      <c r="Z8" s="107">
        <f t="shared" si="0"/>
        <v>1126468.53</v>
      </c>
      <c r="AA8" s="124">
        <f t="shared" si="0"/>
        <v>11386898.26</v>
      </c>
      <c r="AB8" s="124">
        <f t="shared" si="0"/>
        <v>8994676.1799999997</v>
      </c>
      <c r="AC8" s="124">
        <f t="shared" si="0"/>
        <v>3615198.68</v>
      </c>
      <c r="AD8" s="124">
        <f t="shared" si="0"/>
        <v>0</v>
      </c>
      <c r="AE8" s="118">
        <f>AE10+AE11+AE12+AE13+AE14</f>
        <v>69763522.239999995</v>
      </c>
      <c r="AF8" s="118">
        <f>AF10+AF11+AF12+AF13+AF14</f>
        <v>59169778.170000002</v>
      </c>
      <c r="AG8" s="118">
        <f>AG10+AG11+AG12+AG13+AG14</f>
        <v>22759671.91</v>
      </c>
      <c r="AH8" s="118">
        <f>AH10+AH11+AH12+AH13+AH14</f>
        <v>21260780.43</v>
      </c>
      <c r="AI8" s="120">
        <f>AI10+AI11+AI12+AI13+AI14</f>
        <v>42333749.980000004</v>
      </c>
      <c r="AJ8" s="120">
        <v>0</v>
      </c>
      <c r="AK8" s="122">
        <v>0</v>
      </c>
      <c r="AL8" s="120">
        <v>0</v>
      </c>
      <c r="AM8" s="120">
        <f>AM10+AM11+AM12+AM13+AM14</f>
        <v>46944646.68</v>
      </c>
      <c r="AN8" s="120">
        <f>AN10+AN11+AN12+AN13+AN14</f>
        <v>305299.5</v>
      </c>
      <c r="AO8" s="120">
        <f>AO10+AO11+AO12+AO13+AO14</f>
        <v>0</v>
      </c>
      <c r="AP8" s="120">
        <f>AP10+AP11+AP12+AP13+AP14</f>
        <v>0</v>
      </c>
      <c r="AQ8" s="116">
        <f>AM8/AI8-1</f>
        <v>0.10891774771142049</v>
      </c>
      <c r="AR8" s="116" t="e">
        <f>AO8/AK8-1</f>
        <v>#DIV/0!</v>
      </c>
    </row>
    <row r="9" spans="1:44" x14ac:dyDescent="0.25">
      <c r="A9" s="105"/>
      <c r="B9" s="10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25"/>
      <c r="AB9" s="125"/>
      <c r="AC9" s="125"/>
      <c r="AD9" s="125"/>
      <c r="AE9" s="119"/>
      <c r="AF9" s="119"/>
      <c r="AG9" s="119"/>
      <c r="AH9" s="119"/>
      <c r="AI9" s="121"/>
      <c r="AJ9" s="121"/>
      <c r="AK9" s="123"/>
      <c r="AL9" s="121"/>
      <c r="AM9" s="121"/>
      <c r="AN9" s="121"/>
      <c r="AO9" s="121"/>
      <c r="AP9" s="121"/>
      <c r="AQ9" s="117"/>
      <c r="AR9" s="117"/>
    </row>
    <row r="10" spans="1:44" ht="42" customHeight="1" x14ac:dyDescent="0.25">
      <c r="A10" s="109" t="s">
        <v>11</v>
      </c>
      <c r="B10" s="110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28">
        <f>AF10+1133485.65+5585434.3+25079.19</f>
        <v>65913777.309999995</v>
      </c>
      <c r="AF10" s="28">
        <f>4322.42+59165455.75</f>
        <v>59169778.170000002</v>
      </c>
      <c r="AG10" s="28">
        <f>AH10+152030.6+1190679.4</f>
        <v>22603490.43</v>
      </c>
      <c r="AH10" s="28">
        <v>21260780.43</v>
      </c>
      <c r="AI10" s="19">
        <f>416263.48+37900405.82+562292</f>
        <v>38878961.299999997</v>
      </c>
      <c r="AJ10" s="19"/>
      <c r="AK10" s="19"/>
      <c r="AL10" s="19"/>
      <c r="AM10" s="19">
        <f>3441321.19+36072623.17+884291.65+418238.56+44580.43</f>
        <v>40861055</v>
      </c>
      <c r="AN10" s="19">
        <v>4844.75</v>
      </c>
      <c r="AO10" s="19"/>
      <c r="AP10" s="19"/>
      <c r="AQ10" s="34"/>
      <c r="AR10" s="34"/>
    </row>
    <row r="11" spans="1:44" x14ac:dyDescent="0.25">
      <c r="A11" s="109" t="s">
        <v>8</v>
      </c>
      <c r="B11" s="1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28">
        <f>1267592.81+745185.4</f>
        <v>2012778.21</v>
      </c>
      <c r="AF11" s="12"/>
      <c r="AG11" s="28"/>
      <c r="AH11" s="12"/>
      <c r="AI11" s="19">
        <f>2206899.92+113179.6</f>
        <v>2320079.52</v>
      </c>
      <c r="AJ11" s="19"/>
      <c r="AK11" s="19"/>
      <c r="AL11" s="19"/>
      <c r="AM11" s="19">
        <f>2135469.44+1817219.27+241703.43</f>
        <v>4194392.1399999997</v>
      </c>
      <c r="AN11" s="19">
        <v>213482.6</v>
      </c>
      <c r="AO11" s="19"/>
      <c r="AP11" s="19"/>
      <c r="AQ11" s="34"/>
      <c r="AR11" s="34"/>
    </row>
    <row r="12" spans="1:44" ht="27.75" customHeight="1" x14ac:dyDescent="0.25">
      <c r="A12" s="109" t="s">
        <v>9</v>
      </c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28">
        <f>1547406.97+289559.75</f>
        <v>1836966.72</v>
      </c>
      <c r="AF12" s="12"/>
      <c r="AG12" s="28">
        <v>156181.48000000001</v>
      </c>
      <c r="AH12" s="12"/>
      <c r="AI12" s="19">
        <f>1078354.1</f>
        <v>1078354.1000000001</v>
      </c>
      <c r="AJ12" s="19"/>
      <c r="AK12" s="19"/>
      <c r="AL12" s="19"/>
      <c r="AM12" s="19"/>
      <c r="AN12" s="19"/>
      <c r="AO12" s="19"/>
      <c r="AP12" s="19"/>
      <c r="AQ12" s="34"/>
      <c r="AR12" s="34"/>
    </row>
    <row r="13" spans="1:44" ht="15.75" customHeight="1" x14ac:dyDescent="0.25">
      <c r="A13" s="109" t="s">
        <v>10</v>
      </c>
      <c r="B13" s="110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2"/>
      <c r="AF13" s="12"/>
      <c r="AG13" s="28"/>
      <c r="AH13" s="12"/>
      <c r="AI13" s="19">
        <v>56355.06</v>
      </c>
      <c r="AJ13" s="19"/>
      <c r="AK13" s="19"/>
      <c r="AL13" s="19"/>
      <c r="AM13" s="19">
        <f>900598.45+878887.95+109713.14</f>
        <v>1889199.5399999998</v>
      </c>
      <c r="AN13" s="19">
        <v>86972.15</v>
      </c>
      <c r="AO13" s="19"/>
      <c r="AP13" s="19"/>
      <c r="AQ13" s="34"/>
      <c r="AR13" s="34"/>
    </row>
    <row r="14" spans="1:44" ht="26.25" customHeight="1" x14ac:dyDescent="0.25">
      <c r="A14" s="109" t="s">
        <v>16</v>
      </c>
      <c r="B14" s="110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2"/>
      <c r="AF14" s="12"/>
      <c r="AG14" s="12"/>
      <c r="AH14" s="12"/>
      <c r="AI14" s="19"/>
      <c r="AJ14" s="19"/>
      <c r="AK14" s="19"/>
      <c r="AL14" s="19"/>
      <c r="AM14" s="12"/>
      <c r="AN14" s="12"/>
      <c r="AO14" s="12"/>
      <c r="AP14" s="12"/>
      <c r="AQ14" s="39"/>
      <c r="AR14" s="39"/>
    </row>
    <row r="15" spans="1:44" x14ac:dyDescent="0.25">
      <c r="A15" s="111" t="s">
        <v>1</v>
      </c>
      <c r="B15" s="112"/>
      <c r="C15" s="115">
        <f>SUM(C17:C21)</f>
        <v>0</v>
      </c>
      <c r="D15" s="115">
        <f>SUM(D17:D21)</f>
        <v>0</v>
      </c>
      <c r="E15" s="115">
        <f t="shared" ref="E15:AD15" si="1">SUM(E17:E21)</f>
        <v>35747.5</v>
      </c>
      <c r="F15" s="115">
        <f t="shared" si="1"/>
        <v>0</v>
      </c>
      <c r="G15" s="115">
        <f t="shared" si="1"/>
        <v>0</v>
      </c>
      <c r="H15" s="115">
        <f t="shared" si="1"/>
        <v>0</v>
      </c>
      <c r="I15" s="115">
        <f t="shared" si="1"/>
        <v>0</v>
      </c>
      <c r="J15" s="115">
        <f t="shared" si="1"/>
        <v>0</v>
      </c>
      <c r="K15" s="115">
        <f t="shared" si="1"/>
        <v>120756.41</v>
      </c>
      <c r="L15" s="115">
        <f t="shared" si="1"/>
        <v>0</v>
      </c>
      <c r="M15" s="115">
        <f t="shared" si="1"/>
        <v>144077.24</v>
      </c>
      <c r="N15" s="115">
        <f t="shared" si="1"/>
        <v>0</v>
      </c>
      <c r="O15" s="115">
        <f t="shared" si="1"/>
        <v>122267.09</v>
      </c>
      <c r="P15" s="115">
        <f t="shared" si="1"/>
        <v>0</v>
      </c>
      <c r="Q15" s="115">
        <f t="shared" si="1"/>
        <v>81760.240000000005</v>
      </c>
      <c r="R15" s="115">
        <f t="shared" si="1"/>
        <v>0</v>
      </c>
      <c r="S15" s="115">
        <f t="shared" si="1"/>
        <v>68067.33</v>
      </c>
      <c r="T15" s="115">
        <f t="shared" si="1"/>
        <v>0</v>
      </c>
      <c r="U15" s="115">
        <f t="shared" si="1"/>
        <v>61711.68</v>
      </c>
      <c r="V15" s="115">
        <f t="shared" si="1"/>
        <v>0</v>
      </c>
      <c r="W15" s="115">
        <f t="shared" si="1"/>
        <v>0</v>
      </c>
      <c r="X15" s="115">
        <f t="shared" si="1"/>
        <v>0</v>
      </c>
      <c r="Y15" s="115">
        <f t="shared" si="1"/>
        <v>217.78</v>
      </c>
      <c r="Z15" s="115">
        <f t="shared" si="1"/>
        <v>0</v>
      </c>
      <c r="AA15" s="128">
        <f t="shared" si="1"/>
        <v>187710.37</v>
      </c>
      <c r="AB15" s="128">
        <f t="shared" si="1"/>
        <v>0</v>
      </c>
      <c r="AC15" s="128">
        <f t="shared" si="1"/>
        <v>333233.98</v>
      </c>
      <c r="AD15" s="128">
        <f t="shared" si="1"/>
        <v>0</v>
      </c>
      <c r="AE15" s="126">
        <f t="shared" ref="AE15:AL15" si="2">AE17+AE18+AE19+AE20+AE21</f>
        <v>667959.52</v>
      </c>
      <c r="AF15" s="126">
        <f t="shared" si="2"/>
        <v>0</v>
      </c>
      <c r="AG15" s="126">
        <f t="shared" si="2"/>
        <v>94034.71</v>
      </c>
      <c r="AH15" s="126">
        <f t="shared" si="2"/>
        <v>0</v>
      </c>
      <c r="AI15" s="122">
        <f t="shared" si="2"/>
        <v>797761.55</v>
      </c>
      <c r="AJ15" s="122">
        <f t="shared" si="2"/>
        <v>0</v>
      </c>
      <c r="AK15" s="122">
        <v>0</v>
      </c>
      <c r="AL15" s="122">
        <f t="shared" si="2"/>
        <v>0</v>
      </c>
      <c r="AM15" s="122">
        <f>AM17+AM18+AM19+AM20+AM21</f>
        <v>937534.92</v>
      </c>
      <c r="AN15" s="122">
        <f>AN17+AN18+AN19+AN20+AN21</f>
        <v>0</v>
      </c>
      <c r="AO15" s="122">
        <f>AO17+AO18+AO19+AO20+AO21</f>
        <v>0</v>
      </c>
      <c r="AP15" s="122">
        <f>AP17+AP18+AP19+AP20+AP21</f>
        <v>0</v>
      </c>
      <c r="AQ15" s="116">
        <f>AM15/AI15-1</f>
        <v>0.17520695250353935</v>
      </c>
      <c r="AR15" s="116" t="e">
        <f>AO15/AK15-1</f>
        <v>#DIV/0!</v>
      </c>
    </row>
    <row r="16" spans="1:44" x14ac:dyDescent="0.25">
      <c r="A16" s="113"/>
      <c r="B16" s="114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25"/>
      <c r="AB16" s="125"/>
      <c r="AC16" s="125"/>
      <c r="AD16" s="125"/>
      <c r="AE16" s="127"/>
      <c r="AF16" s="127"/>
      <c r="AG16" s="127"/>
      <c r="AH16" s="127"/>
      <c r="AI16" s="123"/>
      <c r="AJ16" s="123"/>
      <c r="AK16" s="123"/>
      <c r="AL16" s="123"/>
      <c r="AM16" s="123"/>
      <c r="AN16" s="123"/>
      <c r="AO16" s="123"/>
      <c r="AP16" s="123"/>
      <c r="AQ16" s="117"/>
      <c r="AR16" s="117"/>
    </row>
    <row r="17" spans="1:47" ht="30" customHeight="1" x14ac:dyDescent="0.25">
      <c r="A17" s="109" t="s">
        <v>11</v>
      </c>
      <c r="B17" s="110"/>
      <c r="C17" s="2"/>
      <c r="D17" s="2"/>
      <c r="E17" s="2">
        <v>35747.5</v>
      </c>
      <c r="F17" s="2"/>
      <c r="G17" s="2"/>
      <c r="H17" s="2"/>
      <c r="I17" s="2"/>
      <c r="J17" s="2"/>
      <c r="K17" s="2">
        <v>120756.41</v>
      </c>
      <c r="L17" s="2"/>
      <c r="M17" s="2">
        <v>144077.24</v>
      </c>
      <c r="N17" s="2"/>
      <c r="O17" s="2">
        <v>122267.09</v>
      </c>
      <c r="P17" s="2"/>
      <c r="Q17" s="2">
        <v>67770.240000000005</v>
      </c>
      <c r="R17" s="2"/>
      <c r="S17" s="2">
        <f>65281.19+2786.14</f>
        <v>68067.33</v>
      </c>
      <c r="T17" s="2"/>
      <c r="U17" s="2">
        <v>61711.68</v>
      </c>
      <c r="V17" s="2"/>
      <c r="W17" s="2"/>
      <c r="X17" s="2"/>
      <c r="Y17" s="2">
        <v>217.78</v>
      </c>
      <c r="Z17" s="2"/>
      <c r="AA17" s="16">
        <v>35</v>
      </c>
      <c r="AB17" s="16"/>
      <c r="AC17" s="16">
        <f>27611.35+117602.07</f>
        <v>145213.42000000001</v>
      </c>
      <c r="AD17" s="13"/>
      <c r="AE17" s="23">
        <f>56332.86+251324.18</f>
        <v>307657.03999999998</v>
      </c>
      <c r="AF17" s="13"/>
      <c r="AG17" s="23">
        <f>3600+90434.71</f>
        <v>94034.71</v>
      </c>
      <c r="AH17" s="23"/>
      <c r="AI17" s="16">
        <f>30567.15+190377.23</f>
        <v>220944.38</v>
      </c>
      <c r="AJ17" s="16"/>
      <c r="AK17" s="16"/>
      <c r="AL17" s="16"/>
      <c r="AM17" s="16">
        <f>46451.57+507656.07</f>
        <v>554107.64</v>
      </c>
      <c r="AN17" s="16"/>
      <c r="AO17" s="16"/>
      <c r="AP17" s="16"/>
      <c r="AQ17" s="24"/>
      <c r="AR17" s="24"/>
    </row>
    <row r="18" spans="1:47" ht="15.75" customHeight="1" x14ac:dyDescent="0.25">
      <c r="A18" s="109" t="s">
        <v>8</v>
      </c>
      <c r="B18" s="1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6">
        <v>172262.37</v>
      </c>
      <c r="AB18" s="16"/>
      <c r="AC18" s="16">
        <v>188020.56</v>
      </c>
      <c r="AD18" s="13"/>
      <c r="AE18" s="23">
        <v>225161</v>
      </c>
      <c r="AF18" s="13"/>
      <c r="AG18" s="13"/>
      <c r="AH18" s="13"/>
      <c r="AI18" s="16">
        <v>372715</v>
      </c>
      <c r="AJ18" s="16"/>
      <c r="AK18" s="16"/>
      <c r="AL18" s="16"/>
      <c r="AM18" s="16">
        <v>267514</v>
      </c>
      <c r="AN18" s="16"/>
      <c r="AO18" s="16"/>
      <c r="AP18" s="16"/>
      <c r="AQ18" s="24"/>
      <c r="AR18" s="24"/>
    </row>
    <row r="19" spans="1:47" ht="21.75" customHeight="1" x14ac:dyDescent="0.25">
      <c r="A19" s="109" t="s">
        <v>9</v>
      </c>
      <c r="B19" s="1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6"/>
      <c r="AB19" s="16"/>
      <c r="AC19" s="13"/>
      <c r="AD19" s="13"/>
      <c r="AE19" s="23"/>
      <c r="AF19" s="13"/>
      <c r="AG19" s="13"/>
      <c r="AH19" s="13"/>
      <c r="AI19" s="16"/>
      <c r="AJ19" s="16"/>
      <c r="AK19" s="16"/>
      <c r="AL19" s="16"/>
      <c r="AM19" s="16"/>
      <c r="AN19" s="16"/>
      <c r="AO19" s="16"/>
      <c r="AP19" s="16"/>
      <c r="AQ19" s="24"/>
      <c r="AR19" s="24"/>
    </row>
    <row r="20" spans="1:47" ht="18" customHeight="1" x14ac:dyDescent="0.25">
      <c r="A20" s="109" t="s">
        <v>10</v>
      </c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13990</v>
      </c>
      <c r="R20" s="2"/>
      <c r="S20" s="2"/>
      <c r="T20" s="2"/>
      <c r="U20" s="2"/>
      <c r="V20" s="2"/>
      <c r="W20" s="2"/>
      <c r="X20" s="2"/>
      <c r="Y20" s="2"/>
      <c r="Z20" s="2"/>
      <c r="AA20" s="16">
        <v>15413</v>
      </c>
      <c r="AB20" s="16"/>
      <c r="AC20" s="13"/>
      <c r="AD20" s="13"/>
      <c r="AE20" s="23">
        <v>135141.48000000001</v>
      </c>
      <c r="AF20" s="13"/>
      <c r="AG20" s="13"/>
      <c r="AH20" s="13"/>
      <c r="AI20" s="16">
        <v>204102.17</v>
      </c>
      <c r="AJ20" s="16"/>
      <c r="AK20" s="16"/>
      <c r="AL20" s="16"/>
      <c r="AM20" s="16">
        <v>115913.28</v>
      </c>
      <c r="AN20" s="16"/>
      <c r="AO20" s="16"/>
      <c r="AP20" s="16"/>
      <c r="AQ20" s="24"/>
      <c r="AR20" s="24"/>
    </row>
    <row r="21" spans="1:47" ht="18.75" customHeight="1" x14ac:dyDescent="0.25">
      <c r="A21" s="109" t="s">
        <v>16</v>
      </c>
      <c r="B21" s="1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6"/>
      <c r="AB21" s="16"/>
      <c r="AC21" s="13"/>
      <c r="AD21" s="13"/>
      <c r="AE21" s="13"/>
      <c r="AF21" s="13"/>
      <c r="AG21" s="13"/>
      <c r="AH21" s="13"/>
      <c r="AI21" s="16"/>
      <c r="AJ21" s="16"/>
      <c r="AK21" s="16"/>
      <c r="AL21" s="16"/>
      <c r="AM21" s="16"/>
      <c r="AN21" s="16"/>
      <c r="AO21" s="16"/>
      <c r="AP21" s="16"/>
      <c r="AQ21" s="24"/>
      <c r="AR21" s="24"/>
    </row>
    <row r="22" spans="1:47" x14ac:dyDescent="0.25">
      <c r="A22" s="111" t="s">
        <v>2</v>
      </c>
      <c r="B22" s="112"/>
      <c r="C22" s="115">
        <v>54846675.530000001</v>
      </c>
      <c r="D22" s="115">
        <v>48940486.590000004</v>
      </c>
      <c r="E22" s="115">
        <f>SUM(E24:E28)</f>
        <v>64656891.350000001</v>
      </c>
      <c r="F22" s="115">
        <f>SUM(F24:F28)</f>
        <v>51440732.669999994</v>
      </c>
      <c r="G22" s="115">
        <f t="shared" ref="G22:AD22" si="3">SUM(G24:G28)</f>
        <v>69207433.140000001</v>
      </c>
      <c r="H22" s="115">
        <f t="shared" si="3"/>
        <v>50454846.649999999</v>
      </c>
      <c r="I22" s="115">
        <f t="shared" si="3"/>
        <v>70742852.230000004</v>
      </c>
      <c r="J22" s="115">
        <f t="shared" si="3"/>
        <v>55024116.890000001</v>
      </c>
      <c r="K22" s="115">
        <f t="shared" si="3"/>
        <v>70605066.099999994</v>
      </c>
      <c r="L22" s="115">
        <f t="shared" si="3"/>
        <v>57943952.730000004</v>
      </c>
      <c r="M22" s="115">
        <f t="shared" si="3"/>
        <v>73371785.549999997</v>
      </c>
      <c r="N22" s="115">
        <f t="shared" si="3"/>
        <v>57519633.82</v>
      </c>
      <c r="O22" s="115">
        <f t="shared" si="3"/>
        <v>69857012.25</v>
      </c>
      <c r="P22" s="115">
        <f t="shared" si="3"/>
        <v>65548817.789999999</v>
      </c>
      <c r="Q22" s="115">
        <f t="shared" si="3"/>
        <v>71509757.569999993</v>
      </c>
      <c r="R22" s="115">
        <f t="shared" si="3"/>
        <v>57862859.439999998</v>
      </c>
      <c r="S22" s="115">
        <f t="shared" si="3"/>
        <v>71486946.959999993</v>
      </c>
      <c r="T22" s="115">
        <f t="shared" si="3"/>
        <v>57789918.439999998</v>
      </c>
      <c r="U22" s="115">
        <f t="shared" si="3"/>
        <v>70592079.479999989</v>
      </c>
      <c r="V22" s="115">
        <f t="shared" si="3"/>
        <v>61579945.239999995</v>
      </c>
      <c r="W22" s="115">
        <f t="shared" si="3"/>
        <v>66866461.460000001</v>
      </c>
      <c r="X22" s="115">
        <f t="shared" si="3"/>
        <v>57735277.960000001</v>
      </c>
      <c r="Y22" s="115">
        <f t="shared" si="3"/>
        <v>103038065.23999999</v>
      </c>
      <c r="Z22" s="115">
        <f t="shared" si="3"/>
        <v>90836160.789999992</v>
      </c>
      <c r="AA22" s="128">
        <f t="shared" si="3"/>
        <v>56387437.119999997</v>
      </c>
      <c r="AB22" s="128">
        <f t="shared" si="3"/>
        <v>15533763.189999999</v>
      </c>
      <c r="AC22" s="128">
        <f t="shared" si="3"/>
        <v>119943838.53</v>
      </c>
      <c r="AD22" s="128">
        <f t="shared" si="3"/>
        <v>72448338.349999994</v>
      </c>
      <c r="AE22" s="126">
        <f t="shared" ref="AE22:AL22" si="4">AE24+AE25+AE26+AE27+AE28</f>
        <v>98597337.969999999</v>
      </c>
      <c r="AF22" s="126">
        <f t="shared" si="4"/>
        <v>28249113.57</v>
      </c>
      <c r="AG22" s="126">
        <f t="shared" si="4"/>
        <v>52538002.529999994</v>
      </c>
      <c r="AH22" s="126">
        <f t="shared" si="4"/>
        <v>0</v>
      </c>
      <c r="AI22" s="122">
        <f t="shared" si="4"/>
        <v>63217359.389999993</v>
      </c>
      <c r="AJ22" s="122">
        <f t="shared" si="4"/>
        <v>27862807.449999999</v>
      </c>
      <c r="AK22" s="122">
        <f t="shared" si="4"/>
        <v>9411597.2899999991</v>
      </c>
      <c r="AL22" s="122">
        <f t="shared" si="4"/>
        <v>0</v>
      </c>
      <c r="AM22" s="122">
        <f>AM24+AM25+AM26+AM27+AM28</f>
        <v>48331823.530000001</v>
      </c>
      <c r="AN22" s="122">
        <f>AN24+AN25+AN26+AN27+AN28</f>
        <v>18786985.620000001</v>
      </c>
      <c r="AO22" s="122">
        <f>AO24+AO25+AO26+AO27+AO28</f>
        <v>5430792.5499999998</v>
      </c>
      <c r="AP22" s="122">
        <f>AP24+AP25+AP26+AP27+AP28</f>
        <v>0</v>
      </c>
      <c r="AQ22" s="116">
        <f>AM22/AI22-1</f>
        <v>-0.23546595434599338</v>
      </c>
      <c r="AR22" s="116">
        <f>AO22/AK22-1</f>
        <v>-0.42296802735383499</v>
      </c>
    </row>
    <row r="23" spans="1:47" ht="12" customHeight="1" x14ac:dyDescent="0.25">
      <c r="A23" s="113"/>
      <c r="B23" s="11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25"/>
      <c r="AB23" s="125"/>
      <c r="AC23" s="125"/>
      <c r="AD23" s="125"/>
      <c r="AE23" s="127"/>
      <c r="AF23" s="127"/>
      <c r="AG23" s="127"/>
      <c r="AH23" s="127"/>
      <c r="AI23" s="123"/>
      <c r="AJ23" s="123"/>
      <c r="AK23" s="123"/>
      <c r="AL23" s="123"/>
      <c r="AM23" s="123"/>
      <c r="AN23" s="123"/>
      <c r="AO23" s="123"/>
      <c r="AP23" s="123"/>
      <c r="AQ23" s="117"/>
      <c r="AR23" s="117"/>
    </row>
    <row r="24" spans="1:47" ht="43.5" customHeight="1" x14ac:dyDescent="0.25">
      <c r="A24" s="109" t="s">
        <v>11</v>
      </c>
      <c r="B24" s="110"/>
      <c r="C24" s="2"/>
      <c r="D24" s="2"/>
      <c r="E24" s="2">
        <v>10110055.9</v>
      </c>
      <c r="F24" s="2">
        <f>51442088.62-49312861.59</f>
        <v>2129227.0299999937</v>
      </c>
      <c r="G24" s="2">
        <v>10146692.35</v>
      </c>
      <c r="H24" s="2">
        <v>2129227.0299999998</v>
      </c>
      <c r="I24" s="2">
        <v>14616479.76</v>
      </c>
      <c r="J24" s="2">
        <v>2129227.0299999998</v>
      </c>
      <c r="K24" s="2">
        <v>7843217.96</v>
      </c>
      <c r="L24" s="2">
        <v>2129227.0299999998</v>
      </c>
      <c r="M24" s="2">
        <v>7533070</v>
      </c>
      <c r="N24" s="2">
        <v>2129227.0299999998</v>
      </c>
      <c r="O24" s="2">
        <v>6652443.1100000003</v>
      </c>
      <c r="P24" s="2">
        <v>2344248.65</v>
      </c>
      <c r="Q24" s="2">
        <f>8677372.77+42645.25</f>
        <v>8720018.0199999996</v>
      </c>
      <c r="R24" s="2">
        <f>2344248.65</f>
        <v>2344248.65</v>
      </c>
      <c r="S24" s="2">
        <f>69747.65+9218096.72</f>
        <v>9287844.370000001</v>
      </c>
      <c r="T24" s="2">
        <v>2271307.65</v>
      </c>
      <c r="U24" s="2">
        <f>94170.06+10964271.83</f>
        <v>11058441.890000001</v>
      </c>
      <c r="V24" s="2">
        <f>2046307.65</f>
        <v>2046307.65</v>
      </c>
      <c r="W24" s="2">
        <f>11194823.81+98358.34</f>
        <v>11293182.15</v>
      </c>
      <c r="X24" s="2">
        <f>2161998.65</f>
        <v>2161998.65</v>
      </c>
      <c r="Y24" s="2">
        <v>13594212.15</v>
      </c>
      <c r="Z24" s="2">
        <v>4751435.4800000004</v>
      </c>
      <c r="AA24" s="16">
        <f>77325.12+12375433.35</f>
        <v>12452758.469999999</v>
      </c>
      <c r="AB24" s="16">
        <v>1634678.03</v>
      </c>
      <c r="AC24" s="16">
        <f>263374.33+25371454.14</f>
        <v>25634828.469999999</v>
      </c>
      <c r="AD24" s="16">
        <v>7111498.0199999996</v>
      </c>
      <c r="AE24" s="23">
        <f>361338.29+22200823.79</f>
        <v>22562162.079999998</v>
      </c>
      <c r="AF24" s="23">
        <v>1203080.3799999999</v>
      </c>
      <c r="AG24" s="23">
        <f>223320.42+7979287.52</f>
        <v>8202607.9399999995</v>
      </c>
      <c r="AH24" s="13"/>
      <c r="AI24" s="16">
        <f>58898.5+5757823.28+84105.04+8232493.31</f>
        <v>14133320.129999999</v>
      </c>
      <c r="AJ24" s="16">
        <f>58898.5+84105.04</f>
        <v>143003.53999999998</v>
      </c>
      <c r="AK24" s="16">
        <v>1077110.1399999999</v>
      </c>
      <c r="AL24" s="16"/>
      <c r="AM24" s="16">
        <f>173558.49+4549148.18+207862.27+8955619.07</f>
        <v>13886188.01</v>
      </c>
      <c r="AN24" s="16">
        <f>173558.49+207862.27</f>
        <v>381420.76</v>
      </c>
      <c r="AO24" s="16">
        <v>220343.81</v>
      </c>
      <c r="AP24" s="16"/>
      <c r="AQ24" s="24"/>
      <c r="AR24" s="24"/>
      <c r="AU24" s="30"/>
    </row>
    <row r="25" spans="1:47" ht="18" customHeight="1" x14ac:dyDescent="0.25">
      <c r="A25" s="109" t="s">
        <v>8</v>
      </c>
      <c r="B25" s="1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>
        <f>774524.11+20097533.72</f>
        <v>20872057.829999998</v>
      </c>
      <c r="AB25" s="16"/>
      <c r="AC25" s="16">
        <f>815882.11+24539657.77</f>
        <v>25355539.879999999</v>
      </c>
      <c r="AD25" s="16"/>
      <c r="AE25" s="23">
        <f>826423.25+23317982.32</f>
        <v>24144405.57</v>
      </c>
      <c r="AF25" s="23">
        <v>16922780.550000001</v>
      </c>
      <c r="AG25" s="23"/>
      <c r="AH25" s="13"/>
      <c r="AI25" s="16">
        <f>6636427.13+2761581.99+10175763.76+5190667.21</f>
        <v>24764440.090000004</v>
      </c>
      <c r="AJ25" s="16">
        <f>6636427.13+10175763.76</f>
        <v>16812190.890000001</v>
      </c>
      <c r="AK25" s="16"/>
      <c r="AL25" s="16"/>
      <c r="AM25" s="16">
        <f>6874818.12+2067588.65+10102148.11+5331019.4</f>
        <v>24375574.280000001</v>
      </c>
      <c r="AN25" s="16">
        <f>6874818.12+10102148.11</f>
        <v>16976966.23</v>
      </c>
      <c r="AO25" s="16"/>
      <c r="AP25" s="16"/>
      <c r="AQ25" s="24"/>
      <c r="AR25" s="24"/>
    </row>
    <row r="26" spans="1:47" ht="44.25" customHeight="1" x14ac:dyDescent="0.25">
      <c r="A26" s="109" t="s">
        <v>9</v>
      </c>
      <c r="B26" s="110"/>
      <c r="C26" s="2"/>
      <c r="D26" s="2"/>
      <c r="E26" s="2">
        <v>4317281.3899999997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3356790.95</v>
      </c>
      <c r="Z26" s="2"/>
      <c r="AA26" s="16">
        <f>511757.59+6814505.62</f>
        <v>7326263.21</v>
      </c>
      <c r="AB26" s="16"/>
      <c r="AC26" s="16">
        <f>484038.54+11956133.92</f>
        <v>12440172.459999999</v>
      </c>
      <c r="AD26" s="16">
        <v>10626588</v>
      </c>
      <c r="AE26" s="23">
        <f>871920.5+16450579.56</f>
        <v>17322500.060000002</v>
      </c>
      <c r="AF26" s="23">
        <v>10123252.640000001</v>
      </c>
      <c r="AG26" s="23">
        <f>353493.68+11501508.54</f>
        <v>11855002.219999999</v>
      </c>
      <c r="AH26" s="13"/>
      <c r="AI26" s="16">
        <f>4846101.83+2549979.72+3834472.6+2522828.53</f>
        <v>13753382.68</v>
      </c>
      <c r="AJ26" s="16">
        <f>4846101.83+3834472.6</f>
        <v>8680574.4299999997</v>
      </c>
      <c r="AK26" s="16"/>
      <c r="AL26" s="16"/>
      <c r="AM26" s="16">
        <f>245296.88+1076778.28+629289.94+2354235.59</f>
        <v>4305600.6899999995</v>
      </c>
      <c r="AN26" s="16">
        <f>245296.88+629289.94</f>
        <v>874586.82</v>
      </c>
      <c r="AO26" s="16"/>
      <c r="AP26" s="16"/>
      <c r="AQ26" s="24"/>
      <c r="AR26" s="24"/>
    </row>
    <row r="27" spans="1:47" ht="16.899999999999999" customHeight="1" x14ac:dyDescent="0.25">
      <c r="A27" s="109" t="s">
        <v>10</v>
      </c>
      <c r="B27" s="110"/>
      <c r="C27" s="2"/>
      <c r="D27" s="2"/>
      <c r="E27" s="2">
        <v>50229554.060000002</v>
      </c>
      <c r="F27" s="2">
        <v>49311505.640000001</v>
      </c>
      <c r="G27" s="2">
        <f>54914409.14+4146331.65</f>
        <v>59060740.789999999</v>
      </c>
      <c r="H27" s="2">
        <f>4092516+44233103.62</f>
        <v>48325619.619999997</v>
      </c>
      <c r="I27" s="2">
        <f>4125519+52000853.47</f>
        <v>56126372.469999999</v>
      </c>
      <c r="J27" s="2">
        <f>4092516+48802373.86</f>
        <v>52894889.859999999</v>
      </c>
      <c r="K27" s="2">
        <f>4106722+58655126.14</f>
        <v>62761848.140000001</v>
      </c>
      <c r="L27" s="2">
        <f>4092516+51722209.7</f>
        <v>55814725.700000003</v>
      </c>
      <c r="M27" s="2">
        <f>3726327.65+62112387.9</f>
        <v>65838715.549999997</v>
      </c>
      <c r="N27" s="2">
        <f>51679075.14+3711331.65</f>
        <v>55390406.789999999</v>
      </c>
      <c r="O27" s="2">
        <f>3292052+59912517.14</f>
        <v>63204569.140000001</v>
      </c>
      <c r="P27" s="2">
        <f>3292052+59912517.14</f>
        <v>63204569.140000001</v>
      </c>
      <c r="Q27" s="2">
        <f>59493077.9+3296661.65</f>
        <v>62789739.549999997</v>
      </c>
      <c r="R27" s="2">
        <f>3296661.65+52221949.14</f>
        <v>55518610.789999999</v>
      </c>
      <c r="S27" s="2">
        <f>58887656.94+3311445.65</f>
        <v>62199102.589999996</v>
      </c>
      <c r="T27" s="2">
        <f>3296661.65+52221949.14</f>
        <v>55518610.789999999</v>
      </c>
      <c r="U27" s="2">
        <f>56222191.94+3311445.65</f>
        <v>59533637.589999996</v>
      </c>
      <c r="V27" s="2">
        <f>3311445.65+56222191.94</f>
        <v>59533637.589999996</v>
      </c>
      <c r="W27" s="2">
        <f>1281078.35+54292200.96</f>
        <v>55573279.310000002</v>
      </c>
      <c r="X27" s="2">
        <f>54292200.96+1281078.35</f>
        <v>55573279.310000002</v>
      </c>
      <c r="Y27" s="2">
        <v>55305512.479999997</v>
      </c>
      <c r="Z27" s="2">
        <v>55305512.479999997</v>
      </c>
      <c r="AA27" s="16">
        <v>12430432.640000001</v>
      </c>
      <c r="AB27" s="16">
        <v>12430432.640000001</v>
      </c>
      <c r="AC27" s="16">
        <v>19001954.52</v>
      </c>
      <c r="AD27" s="16">
        <v>19001954.52</v>
      </c>
      <c r="AE27" s="23">
        <f>8958+7347927.08</f>
        <v>7356885.0800000001</v>
      </c>
      <c r="AF27" s="13"/>
      <c r="AG27" s="23">
        <f>8958+6907494.08</f>
        <v>6916452.0800000001</v>
      </c>
      <c r="AH27" s="13"/>
      <c r="AI27" s="16">
        <f>2101880.84+3050643.64</f>
        <v>5152524.4800000004</v>
      </c>
      <c r="AJ27" s="16"/>
      <c r="AK27" s="16">
        <f>2101856.09+3050642.64</f>
        <v>5152498.7300000004</v>
      </c>
      <c r="AL27" s="16"/>
      <c r="AM27" s="16">
        <f>2076456.09+3133992.65</f>
        <v>5210448.74</v>
      </c>
      <c r="AN27" s="16"/>
      <c r="AO27" s="16">
        <f>2076456.09+3133992.65</f>
        <v>5210448.74</v>
      </c>
      <c r="AP27" s="16"/>
      <c r="AQ27" s="24" t="s">
        <v>42</v>
      </c>
      <c r="AR27" s="24"/>
    </row>
    <row r="28" spans="1:47" ht="31.5" customHeight="1" x14ac:dyDescent="0.25">
      <c r="A28" s="109" t="s">
        <v>16</v>
      </c>
      <c r="B28" s="1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30781549.66</v>
      </c>
      <c r="Z28" s="2">
        <v>30779212.829999998</v>
      </c>
      <c r="AA28" s="16">
        <f>3305399.51+525.46</f>
        <v>3305924.9699999997</v>
      </c>
      <c r="AB28" s="16">
        <v>1468652.52</v>
      </c>
      <c r="AC28" s="16">
        <f>37418429.35+92913.85</f>
        <v>37511343.200000003</v>
      </c>
      <c r="AD28" s="16">
        <v>35708297.810000002</v>
      </c>
      <c r="AE28" s="23">
        <f>27144292.69+67092.49</f>
        <v>27211385.18</v>
      </c>
      <c r="AF28" s="13"/>
      <c r="AG28" s="23">
        <v>25563940.289999999</v>
      </c>
      <c r="AH28" s="13"/>
      <c r="AI28" s="16">
        <f>5363159.41+45867.6+4665</f>
        <v>5413692.0099999998</v>
      </c>
      <c r="AJ28" s="16">
        <f>45867.6+2181170.99</f>
        <v>2227038.5900000003</v>
      </c>
      <c r="AK28" s="16">
        <v>3181988.42</v>
      </c>
      <c r="AL28" s="16"/>
      <c r="AM28" s="16">
        <v>554011.81000000006</v>
      </c>
      <c r="AN28" s="16">
        <v>554011.81000000006</v>
      </c>
      <c r="AO28" s="16"/>
      <c r="AP28" s="16"/>
      <c r="AQ28" s="24"/>
      <c r="AR28" s="24"/>
    </row>
    <row r="29" spans="1:47" x14ac:dyDescent="0.25">
      <c r="A29" s="111" t="s">
        <v>3</v>
      </c>
      <c r="B29" s="112"/>
      <c r="C29" s="115">
        <v>-7680.14</v>
      </c>
      <c r="D29" s="115">
        <f>SUM(D31:D35)</f>
        <v>0</v>
      </c>
      <c r="E29" s="115">
        <f t="shared" ref="E29:AD29" si="5">SUM(E31:E35)</f>
        <v>0</v>
      </c>
      <c r="F29" s="115">
        <f t="shared" si="5"/>
        <v>0</v>
      </c>
      <c r="G29" s="115">
        <f t="shared" si="5"/>
        <v>114426.95</v>
      </c>
      <c r="H29" s="115">
        <f t="shared" si="5"/>
        <v>0</v>
      </c>
      <c r="I29" s="115">
        <f t="shared" si="5"/>
        <v>88290.77</v>
      </c>
      <c r="J29" s="115">
        <f t="shared" si="5"/>
        <v>0</v>
      </c>
      <c r="K29" s="115">
        <f t="shared" si="5"/>
        <v>51440.42</v>
      </c>
      <c r="L29" s="115">
        <f t="shared" si="5"/>
        <v>0</v>
      </c>
      <c r="M29" s="115">
        <f t="shared" si="5"/>
        <v>169857.58</v>
      </c>
      <c r="N29" s="115">
        <f t="shared" si="5"/>
        <v>0</v>
      </c>
      <c r="O29" s="115">
        <f t="shared" si="5"/>
        <v>77731.77</v>
      </c>
      <c r="P29" s="115">
        <f t="shared" si="5"/>
        <v>0</v>
      </c>
      <c r="Q29" s="115">
        <f t="shared" si="5"/>
        <v>55035.07</v>
      </c>
      <c r="R29" s="115">
        <f t="shared" si="5"/>
        <v>0</v>
      </c>
      <c r="S29" s="115">
        <f t="shared" si="5"/>
        <v>80513.679999999993</v>
      </c>
      <c r="T29" s="115">
        <f t="shared" si="5"/>
        <v>0</v>
      </c>
      <c r="U29" s="115">
        <f t="shared" si="5"/>
        <v>77945.259999999995</v>
      </c>
      <c r="V29" s="115">
        <f t="shared" si="5"/>
        <v>0</v>
      </c>
      <c r="W29" s="115">
        <f t="shared" si="5"/>
        <v>84064.9</v>
      </c>
      <c r="X29" s="115">
        <f t="shared" si="5"/>
        <v>0</v>
      </c>
      <c r="Y29" s="115">
        <f t="shared" si="5"/>
        <v>0</v>
      </c>
      <c r="Z29" s="115">
        <f t="shared" si="5"/>
        <v>0</v>
      </c>
      <c r="AA29" s="128">
        <f t="shared" si="5"/>
        <v>663721.94999999995</v>
      </c>
      <c r="AB29" s="128">
        <f t="shared" si="5"/>
        <v>0</v>
      </c>
      <c r="AC29" s="128">
        <f t="shared" si="5"/>
        <v>856387.40999999992</v>
      </c>
      <c r="AD29" s="128">
        <f t="shared" si="5"/>
        <v>0</v>
      </c>
      <c r="AE29" s="126">
        <f t="shared" ref="AE29:AL29" si="6">AE31+AE32+AE33+AE34+AE35</f>
        <v>807619</v>
      </c>
      <c r="AF29" s="126">
        <f t="shared" si="6"/>
        <v>0</v>
      </c>
      <c r="AG29" s="126">
        <f t="shared" si="6"/>
        <v>0</v>
      </c>
      <c r="AH29" s="126">
        <f t="shared" si="6"/>
        <v>0</v>
      </c>
      <c r="AI29" s="122">
        <f t="shared" si="6"/>
        <v>1745805.9500000002</v>
      </c>
      <c r="AJ29" s="122">
        <f t="shared" si="6"/>
        <v>0</v>
      </c>
      <c r="AK29" s="122">
        <v>0</v>
      </c>
      <c r="AL29" s="122">
        <f t="shared" si="6"/>
        <v>0</v>
      </c>
      <c r="AM29" s="122">
        <f>AM31+AM32+AM33+AM34+AM35</f>
        <v>1233747.2000000002</v>
      </c>
      <c r="AN29" s="122">
        <f>AN31+AN32+AN33+AN34+AN35</f>
        <v>0</v>
      </c>
      <c r="AO29" s="122">
        <f>AO31+AO32+AO33+AO34+AO35</f>
        <v>0</v>
      </c>
      <c r="AP29" s="122">
        <f>AP31+AP32+AP33+AP34+AP35</f>
        <v>0</v>
      </c>
      <c r="AQ29" s="116">
        <f>AM29/AI29-1</f>
        <v>-0.29330794181334985</v>
      </c>
      <c r="AR29" s="116" t="e">
        <f>AO29/AK29-1</f>
        <v>#DIV/0!</v>
      </c>
    </row>
    <row r="30" spans="1:47" x14ac:dyDescent="0.25">
      <c r="A30" s="113"/>
      <c r="B30" s="114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5"/>
      <c r="AB30" s="125"/>
      <c r="AC30" s="125"/>
      <c r="AD30" s="125"/>
      <c r="AE30" s="127"/>
      <c r="AF30" s="127"/>
      <c r="AG30" s="127"/>
      <c r="AH30" s="127"/>
      <c r="AI30" s="123"/>
      <c r="AJ30" s="123"/>
      <c r="AK30" s="123"/>
      <c r="AL30" s="123"/>
      <c r="AM30" s="123"/>
      <c r="AN30" s="123"/>
      <c r="AO30" s="123"/>
      <c r="AP30" s="123"/>
      <c r="AQ30" s="117"/>
      <c r="AR30" s="117"/>
    </row>
    <row r="31" spans="1:47" ht="43.5" customHeight="1" x14ac:dyDescent="0.25">
      <c r="A31" s="109" t="s">
        <v>11</v>
      </c>
      <c r="B31" s="110"/>
      <c r="C31" s="2">
        <v>0</v>
      </c>
      <c r="D31" s="2"/>
      <c r="E31" s="2">
        <v>0</v>
      </c>
      <c r="F31" s="2"/>
      <c r="G31" s="2">
        <v>114426.95</v>
      </c>
      <c r="H31" s="2"/>
      <c r="I31" s="2">
        <v>88290.77</v>
      </c>
      <c r="J31" s="2"/>
      <c r="K31" s="2">
        <v>51440.42</v>
      </c>
      <c r="L31" s="2"/>
      <c r="M31" s="2">
        <v>169857.58</v>
      </c>
      <c r="N31" s="2"/>
      <c r="O31" s="2">
        <v>77731.77</v>
      </c>
      <c r="P31" s="2"/>
      <c r="Q31" s="2">
        <v>55035.07</v>
      </c>
      <c r="R31" s="2"/>
      <c r="S31" s="2">
        <v>80513.679999999993</v>
      </c>
      <c r="T31" s="2"/>
      <c r="U31" s="2">
        <v>77945.259999999995</v>
      </c>
      <c r="V31" s="2"/>
      <c r="W31" s="2">
        <v>84064.9</v>
      </c>
      <c r="X31" s="2"/>
      <c r="Y31" s="2"/>
      <c r="Z31" s="2"/>
      <c r="AA31" s="16">
        <v>4839.6099999999997</v>
      </c>
      <c r="AB31" s="16"/>
      <c r="AC31" s="16">
        <v>85242.16</v>
      </c>
      <c r="AD31" s="13"/>
      <c r="AE31" s="23">
        <v>172973.85</v>
      </c>
      <c r="AF31" s="23"/>
      <c r="AG31" s="23"/>
      <c r="AH31" s="23"/>
      <c r="AI31" s="16">
        <f>72200.43+5275.44</f>
        <v>77475.87</v>
      </c>
      <c r="AJ31" s="16"/>
      <c r="AK31" s="16"/>
      <c r="AL31" s="16"/>
      <c r="AM31" s="16">
        <f>281278.69+5139.06</f>
        <v>286417.75</v>
      </c>
      <c r="AN31" s="16"/>
      <c r="AO31" s="16"/>
      <c r="AP31" s="16"/>
      <c r="AQ31" s="24"/>
      <c r="AR31" s="24"/>
    </row>
    <row r="32" spans="1:47" ht="18.600000000000001" customHeight="1" x14ac:dyDescent="0.25">
      <c r="A32" s="109" t="s">
        <v>8</v>
      </c>
      <c r="B32" s="1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>
        <v>446550.73</v>
      </c>
      <c r="AB32" s="16"/>
      <c r="AC32" s="16">
        <v>451706.16</v>
      </c>
      <c r="AD32" s="13"/>
      <c r="AE32" s="23">
        <v>291019.77</v>
      </c>
      <c r="AF32" s="23"/>
      <c r="AG32" s="23"/>
      <c r="AH32" s="23"/>
      <c r="AI32" s="16">
        <f>696234.36+399212.22</f>
        <v>1095446.58</v>
      </c>
      <c r="AJ32" s="16"/>
      <c r="AK32" s="16"/>
      <c r="AL32" s="16"/>
      <c r="AM32" s="16">
        <f>361036.06+244333.5</f>
        <v>605369.56000000006</v>
      </c>
      <c r="AN32" s="16"/>
      <c r="AO32" s="16"/>
      <c r="AP32" s="16"/>
      <c r="AQ32" s="24"/>
      <c r="AR32" s="24"/>
    </row>
    <row r="33" spans="1:44" x14ac:dyDescent="0.25">
      <c r="A33" s="109" t="s">
        <v>9</v>
      </c>
      <c r="B33" s="110"/>
      <c r="C33" s="2">
        <v>0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23"/>
      <c r="AC33" s="16"/>
      <c r="AD33" s="13"/>
      <c r="AE33" s="23"/>
      <c r="AF33" s="23"/>
      <c r="AG33" s="23"/>
      <c r="AH33" s="23"/>
      <c r="AI33" s="16"/>
      <c r="AJ33" s="16"/>
      <c r="AK33" s="16"/>
      <c r="AL33" s="16"/>
      <c r="AM33" s="16"/>
      <c r="AN33" s="16"/>
      <c r="AO33" s="16"/>
      <c r="AP33" s="16"/>
      <c r="AQ33" s="24"/>
      <c r="AR33" s="24"/>
    </row>
    <row r="34" spans="1:44" x14ac:dyDescent="0.25">
      <c r="A34" s="109" t="s">
        <v>10</v>
      </c>
      <c r="B34" s="1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>
        <v>212331.61</v>
      </c>
      <c r="AB34" s="16"/>
      <c r="AC34" s="16">
        <v>319439.09000000003</v>
      </c>
      <c r="AD34" s="13"/>
      <c r="AE34" s="23">
        <v>343625.38</v>
      </c>
      <c r="AF34" s="23"/>
      <c r="AG34" s="23"/>
      <c r="AH34" s="23"/>
      <c r="AI34" s="16">
        <f>340695.57+232187.93</f>
        <v>572883.5</v>
      </c>
      <c r="AJ34" s="16"/>
      <c r="AK34" s="16"/>
      <c r="AL34" s="16"/>
      <c r="AM34" s="16">
        <f>209054.37+132905.52</f>
        <v>341959.89</v>
      </c>
      <c r="AN34" s="16"/>
      <c r="AO34" s="16"/>
      <c r="AP34" s="16"/>
      <c r="AQ34" s="24"/>
      <c r="AR34" s="24"/>
    </row>
    <row r="35" spans="1:44" x14ac:dyDescent="0.25">
      <c r="A35" s="109" t="s">
        <v>16</v>
      </c>
      <c r="B35" s="1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/>
      <c r="AB35" s="13"/>
      <c r="AC35" s="13"/>
      <c r="AD35" s="13"/>
      <c r="AE35" s="13"/>
      <c r="AF35" s="13"/>
      <c r="AG35" s="13"/>
      <c r="AH35" s="13"/>
      <c r="AI35" s="16"/>
      <c r="AJ35" s="16"/>
      <c r="AK35" s="16"/>
      <c r="AL35" s="16"/>
      <c r="AM35" s="16"/>
      <c r="AN35" s="16"/>
      <c r="AO35" s="16"/>
      <c r="AP35" s="16"/>
      <c r="AQ35" s="24"/>
      <c r="AR35" s="24"/>
    </row>
    <row r="36" spans="1:44" x14ac:dyDescent="0.25">
      <c r="A36" s="111" t="s">
        <v>19</v>
      </c>
      <c r="B36" s="112"/>
      <c r="C36" s="115">
        <v>24738.76</v>
      </c>
      <c r="D36" s="115">
        <f t="shared" ref="D36:Z36" si="7">SUM(D38:D42)</f>
        <v>0</v>
      </c>
      <c r="E36" s="115">
        <f t="shared" si="7"/>
        <v>162585.41</v>
      </c>
      <c r="F36" s="115">
        <f t="shared" si="7"/>
        <v>0</v>
      </c>
      <c r="G36" s="115">
        <f t="shared" si="7"/>
        <v>2836261.8599999994</v>
      </c>
      <c r="H36" s="115">
        <f t="shared" si="7"/>
        <v>179639.45</v>
      </c>
      <c r="I36" s="115">
        <f t="shared" si="7"/>
        <v>2968161.5</v>
      </c>
      <c r="J36" s="115">
        <f t="shared" si="7"/>
        <v>179639.45</v>
      </c>
      <c r="K36" s="115">
        <f t="shared" si="7"/>
        <v>3579888.6599999997</v>
      </c>
      <c r="L36" s="115">
        <f t="shared" si="7"/>
        <v>179639.45</v>
      </c>
      <c r="M36" s="115">
        <f t="shared" si="7"/>
        <v>2288254.44</v>
      </c>
      <c r="N36" s="115">
        <f t="shared" si="7"/>
        <v>179639.45</v>
      </c>
      <c r="O36" s="115">
        <f t="shared" si="7"/>
        <v>2699902.61</v>
      </c>
      <c r="P36" s="115">
        <f t="shared" si="7"/>
        <v>179639.45</v>
      </c>
      <c r="Q36" s="115">
        <f t="shared" si="7"/>
        <v>2782603.59</v>
      </c>
      <c r="R36" s="115">
        <f t="shared" si="7"/>
        <v>179639.45</v>
      </c>
      <c r="S36" s="115">
        <f t="shared" si="7"/>
        <v>2615855.7999999998</v>
      </c>
      <c r="T36" s="115">
        <f t="shared" si="7"/>
        <v>179639.45</v>
      </c>
      <c r="U36" s="115">
        <f t="shared" si="7"/>
        <v>2483055.5499999998</v>
      </c>
      <c r="V36" s="115">
        <f t="shared" si="7"/>
        <v>142806.04</v>
      </c>
      <c r="W36" s="115">
        <f t="shared" si="7"/>
        <v>2680559.16</v>
      </c>
      <c r="X36" s="115">
        <f t="shared" si="7"/>
        <v>142806.04</v>
      </c>
      <c r="Y36" s="115">
        <f t="shared" si="7"/>
        <v>79878.12999999999</v>
      </c>
      <c r="Z36" s="115">
        <f t="shared" si="7"/>
        <v>0</v>
      </c>
      <c r="AA36" s="128">
        <f>SUM(AA38:AA42)</f>
        <v>2592606.9299999997</v>
      </c>
      <c r="AB36" s="128">
        <f>SUM(AB38:AB42)</f>
        <v>0</v>
      </c>
      <c r="AC36" s="128">
        <f>SUM(AC38:AC42)</f>
        <v>4410926.9800000004</v>
      </c>
      <c r="AD36" s="128">
        <f>SUM(AD38:AD42)</f>
        <v>1508980.59</v>
      </c>
      <c r="AE36" s="126">
        <f t="shared" ref="AE36:AJ36" si="8">AE38+AE39+AE40+AE41+AE42</f>
        <v>6043790.8399999999</v>
      </c>
      <c r="AF36" s="126">
        <f t="shared" si="8"/>
        <v>5996669.2400000002</v>
      </c>
      <c r="AG36" s="126">
        <f t="shared" si="8"/>
        <v>1880593.8800000001</v>
      </c>
      <c r="AH36" s="126">
        <f t="shared" si="8"/>
        <v>1880593.88</v>
      </c>
      <c r="AI36" s="122">
        <f t="shared" si="8"/>
        <v>4401686.4800000004</v>
      </c>
      <c r="AJ36" s="122">
        <f t="shared" si="8"/>
        <v>4300435.1999999993</v>
      </c>
      <c r="AK36" s="122">
        <v>0</v>
      </c>
      <c r="AL36" s="122">
        <v>0</v>
      </c>
      <c r="AM36" s="122">
        <f>AM38+AM39+AM40+AM41+AM42</f>
        <v>4408137.45</v>
      </c>
      <c r="AN36" s="122">
        <f>AN38+AN39+AN40+AN41+AN42</f>
        <v>4299243.7299999995</v>
      </c>
      <c r="AO36" s="122">
        <f>AO38+AO39+AO40+AO41+AO42</f>
        <v>0</v>
      </c>
      <c r="AP36" s="122">
        <f>AP38+AP39+AP40+AP41+AP42</f>
        <v>0</v>
      </c>
      <c r="AQ36" s="116">
        <f>AM36/AI36-1</f>
        <v>1.4655678066375355E-3</v>
      </c>
      <c r="AR36" s="116" t="e">
        <f>AO36/AK36-1</f>
        <v>#DIV/0!</v>
      </c>
    </row>
    <row r="37" spans="1:44" x14ac:dyDescent="0.25">
      <c r="A37" s="113"/>
      <c r="B37" s="11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5"/>
      <c r="AB37" s="125"/>
      <c r="AC37" s="125"/>
      <c r="AD37" s="125"/>
      <c r="AE37" s="127"/>
      <c r="AF37" s="127"/>
      <c r="AG37" s="127"/>
      <c r="AH37" s="127"/>
      <c r="AI37" s="123"/>
      <c r="AJ37" s="123"/>
      <c r="AK37" s="123"/>
      <c r="AL37" s="123"/>
      <c r="AM37" s="123"/>
      <c r="AN37" s="123"/>
      <c r="AO37" s="123"/>
      <c r="AP37" s="123"/>
      <c r="AQ37" s="117"/>
      <c r="AR37" s="117"/>
    </row>
    <row r="38" spans="1:44" x14ac:dyDescent="0.25">
      <c r="A38" s="109" t="s">
        <v>11</v>
      </c>
      <c r="B38" s="110"/>
      <c r="C38" s="2"/>
      <c r="D38" s="2"/>
      <c r="E38" s="2">
        <v>162585.41</v>
      </c>
      <c r="F38" s="2"/>
      <c r="G38" s="2">
        <f>410855.69+138863.03</f>
        <v>549718.72</v>
      </c>
      <c r="H38" s="2">
        <v>179639.45</v>
      </c>
      <c r="I38" s="2">
        <f>349786.74+482870.23</f>
        <v>832656.97</v>
      </c>
      <c r="J38" s="2">
        <v>179639.45</v>
      </c>
      <c r="K38" s="2">
        <f>325550.4+256894.84</f>
        <v>582445.24</v>
      </c>
      <c r="L38" s="2">
        <v>179639.45</v>
      </c>
      <c r="M38" s="2">
        <f>32098.35+367708.31</f>
        <v>399806.66</v>
      </c>
      <c r="N38" s="2">
        <v>179639.45</v>
      </c>
      <c r="O38" s="2">
        <f>19053.66+339996.73</f>
        <v>359050.38999999996</v>
      </c>
      <c r="P38" s="2">
        <v>179639.45</v>
      </c>
      <c r="Q38" s="2">
        <f>214101.64+184501.39</f>
        <v>398603.03</v>
      </c>
      <c r="R38" s="2">
        <v>179639.45</v>
      </c>
      <c r="S38" s="2">
        <f>293392.92+82646.26</f>
        <v>376039.18</v>
      </c>
      <c r="T38" s="2">
        <v>179639.45</v>
      </c>
      <c r="U38" s="2">
        <f>18347.3+293392.92</f>
        <v>311740.21999999997</v>
      </c>
      <c r="V38" s="2">
        <f>142806.04</f>
        <v>142806.04</v>
      </c>
      <c r="W38" s="2">
        <f>175124.05+248350.04</f>
        <v>423474.08999999997</v>
      </c>
      <c r="X38" s="2">
        <v>142806.04</v>
      </c>
      <c r="Y38" s="2">
        <v>99147.76</v>
      </c>
      <c r="Z38" s="2"/>
      <c r="AA38" s="16">
        <f>23731.53+27555.65</f>
        <v>51287.18</v>
      </c>
      <c r="AB38" s="16"/>
      <c r="AC38" s="16">
        <f>36698.81+43106.43</f>
        <v>79805.239999999991</v>
      </c>
      <c r="AD38" s="16"/>
      <c r="AE38" s="23">
        <f>AF38+16412.78</f>
        <v>238760.13999999998</v>
      </c>
      <c r="AF38" s="23">
        <f>104792.76+117554.6</f>
        <v>222347.36</v>
      </c>
      <c r="AG38" s="13"/>
      <c r="AH38" s="23"/>
      <c r="AI38" s="16">
        <f>54159.74+22819.27+80774.94</f>
        <v>157753.95000000001</v>
      </c>
      <c r="AJ38" s="29">
        <f>54159.74+22819.27</f>
        <v>76979.009999999995</v>
      </c>
      <c r="AK38" s="16"/>
      <c r="AL38" s="16"/>
      <c r="AM38" s="16">
        <f>56684.24+15500+197553.99+71814.93</f>
        <v>341553.16</v>
      </c>
      <c r="AN38" s="16">
        <f>56684.24+197553.99</f>
        <v>254238.22999999998</v>
      </c>
      <c r="AO38" s="16"/>
      <c r="AP38" s="16"/>
      <c r="AQ38" s="24"/>
      <c r="AR38" s="24"/>
    </row>
    <row r="39" spans="1:44" x14ac:dyDescent="0.25">
      <c r="A39" s="109" t="s">
        <v>8</v>
      </c>
      <c r="B39" s="110"/>
      <c r="C39" s="2"/>
      <c r="D39" s="2"/>
      <c r="E39" s="2"/>
      <c r="F39" s="2"/>
      <c r="G39" s="2">
        <f>1280106.96+331142.71</f>
        <v>1611249.67</v>
      </c>
      <c r="H39" s="2"/>
      <c r="I39" s="2">
        <f>1112706.33+292125.54</f>
        <v>1404831.87</v>
      </c>
      <c r="J39" s="2"/>
      <c r="K39" s="2">
        <f>1664826.89+424726.47</f>
        <v>2089553.3599999999</v>
      </c>
      <c r="L39" s="2"/>
      <c r="M39" s="2">
        <v>1291836.76</v>
      </c>
      <c r="N39" s="2"/>
      <c r="O39" s="2">
        <f>336869.12+1006180.12</f>
        <v>1343049.24</v>
      </c>
      <c r="P39" s="2"/>
      <c r="Q39" s="2">
        <f>290310.2+1054801</f>
        <v>1345111.2</v>
      </c>
      <c r="R39" s="2"/>
      <c r="S39" s="2">
        <f>210412.6+1031728.18</f>
        <v>1242140.78</v>
      </c>
      <c r="T39" s="2"/>
      <c r="U39" s="2">
        <f>144677.62+1051908.03</f>
        <v>1196585.6499999999</v>
      </c>
      <c r="V39" s="2"/>
      <c r="W39" s="2">
        <f>257630.31+1025805.39</f>
        <v>1283435.7</v>
      </c>
      <c r="X39" s="2"/>
      <c r="Y39" s="2"/>
      <c r="Z39" s="2"/>
      <c r="AA39" s="16">
        <f>367554.1+1092399.95</f>
        <v>1459954.0499999998</v>
      </c>
      <c r="AB39" s="16"/>
      <c r="AC39" s="16">
        <f>413160.07+976030.95</f>
        <v>1389191.02</v>
      </c>
      <c r="AD39" s="16"/>
      <c r="AE39" s="23">
        <f>AF39+20410</f>
        <v>1483828.69</v>
      </c>
      <c r="AF39" s="23">
        <f>399447.7+1063970.99</f>
        <v>1463418.69</v>
      </c>
      <c r="AG39" s="13"/>
      <c r="AH39" s="23"/>
      <c r="AI39" s="16">
        <f>399497.7+11131.38+1854102.36</f>
        <v>2264731.44</v>
      </c>
      <c r="AJ39" s="16">
        <f>399497.7+1854102.36</f>
        <v>2253600.06</v>
      </c>
      <c r="AK39" s="16"/>
      <c r="AL39" s="16"/>
      <c r="AM39" s="16">
        <f>303217.52+9935+2723914.07</f>
        <v>3037066.59</v>
      </c>
      <c r="AN39" s="16">
        <f>303217.52+2723914.07</f>
        <v>3027131.59</v>
      </c>
      <c r="AO39" s="16"/>
      <c r="AP39" s="16"/>
      <c r="AQ39" s="24"/>
      <c r="AR39" s="24"/>
    </row>
    <row r="40" spans="1:44" x14ac:dyDescent="0.25">
      <c r="A40" s="109" t="s">
        <v>9</v>
      </c>
      <c r="B40" s="110"/>
      <c r="C40" s="2"/>
      <c r="D40" s="2"/>
      <c r="E40" s="2"/>
      <c r="F40" s="2"/>
      <c r="G40" s="2">
        <f>191330.96+483962.51</f>
        <v>675293.47</v>
      </c>
      <c r="H40" s="2"/>
      <c r="I40" s="2">
        <f>171605.74+559066.92</f>
        <v>730672.66</v>
      </c>
      <c r="J40" s="2"/>
      <c r="K40" s="2">
        <f>209944.24+697945.82</f>
        <v>907890.05999999994</v>
      </c>
      <c r="L40" s="2"/>
      <c r="M40" s="2">
        <v>596611.02</v>
      </c>
      <c r="N40" s="2"/>
      <c r="O40" s="2">
        <f>198862.88+580042.1</f>
        <v>778904.98</v>
      </c>
      <c r="P40" s="2"/>
      <c r="Q40" s="2">
        <f>612669.18+219338.18</f>
        <v>832007.3600000001</v>
      </c>
      <c r="R40" s="2"/>
      <c r="S40" s="2">
        <f>201317.46+630998.38</f>
        <v>832315.84</v>
      </c>
      <c r="T40" s="2"/>
      <c r="U40" s="2">
        <f>184341.93+601701.1</f>
        <v>786043.03</v>
      </c>
      <c r="V40" s="2"/>
      <c r="W40" s="2">
        <f>177715.19+604861.18</f>
        <v>782576.37000000011</v>
      </c>
      <c r="X40" s="2"/>
      <c r="Y40" s="2">
        <v>-9193.7999999999993</v>
      </c>
      <c r="Z40" s="2"/>
      <c r="AA40" s="16">
        <f>254861.86+627161.14</f>
        <v>882023</v>
      </c>
      <c r="AB40" s="16"/>
      <c r="AC40" s="16">
        <f>363441.69+1320113.41</f>
        <v>1683555.0999999999</v>
      </c>
      <c r="AD40" s="16">
        <f>20923.56+643955.03</f>
        <v>664878.59000000008</v>
      </c>
      <c r="AE40" s="23">
        <f>AF40+9183.82</f>
        <v>2863942.15</v>
      </c>
      <c r="AF40" s="23">
        <f>469042.19+2385716.14</f>
        <v>2854758.33</v>
      </c>
      <c r="AG40" s="23">
        <v>1220473.1200000001</v>
      </c>
      <c r="AH40" s="23">
        <f>147655.46+1072817.66</f>
        <v>1220473.1199999999</v>
      </c>
      <c r="AI40" s="16">
        <f>283794.68+8867.96+960334.11</f>
        <v>1252996.75</v>
      </c>
      <c r="AJ40" s="16">
        <f>283794.68+960334.11</f>
        <v>1244128.79</v>
      </c>
      <c r="AK40" s="16"/>
      <c r="AL40" s="16"/>
      <c r="AM40" s="16">
        <f>140414.83+11469.79+269135.83</f>
        <v>421020.45</v>
      </c>
      <c r="AN40" s="16">
        <f>140414.83+269135.83</f>
        <v>409550.66000000003</v>
      </c>
      <c r="AO40" s="16"/>
      <c r="AP40" s="16"/>
      <c r="AQ40" s="24"/>
      <c r="AR40" s="24"/>
    </row>
    <row r="41" spans="1:44" x14ac:dyDescent="0.25">
      <c r="A41" s="109" t="s">
        <v>10</v>
      </c>
      <c r="B41" s="1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218898</f>
        <v>218898</v>
      </c>
      <c r="P41" s="2"/>
      <c r="Q41" s="2">
        <v>206882</v>
      </c>
      <c r="R41" s="2"/>
      <c r="S41" s="2">
        <v>165360</v>
      </c>
      <c r="T41" s="2"/>
      <c r="U41" s="2">
        <v>188686.65</v>
      </c>
      <c r="V41" s="2"/>
      <c r="W41" s="2">
        <f>191073</f>
        <v>191073</v>
      </c>
      <c r="X41" s="2"/>
      <c r="Y41" s="2">
        <v>-12759</v>
      </c>
      <c r="Z41" s="2"/>
      <c r="AA41" s="16"/>
      <c r="AB41" s="16"/>
      <c r="AC41" s="16"/>
      <c r="AD41" s="16"/>
      <c r="AE41" s="23">
        <f>AF41+1115</f>
        <v>94671.360000000001</v>
      </c>
      <c r="AF41" s="23">
        <v>93556.36</v>
      </c>
      <c r="AG41" s="23"/>
      <c r="AH41" s="23"/>
      <c r="AI41" s="16">
        <f>92285.57+477</f>
        <v>92762.57</v>
      </c>
      <c r="AJ41" s="16">
        <v>92285.57</v>
      </c>
      <c r="AK41" s="16"/>
      <c r="AL41" s="16"/>
      <c r="AM41" s="16"/>
      <c r="AN41" s="16">
        <v>33966.57</v>
      </c>
      <c r="AO41" s="16"/>
      <c r="AP41" s="16"/>
      <c r="AQ41" s="24"/>
      <c r="AR41" s="24"/>
    </row>
    <row r="42" spans="1:44" x14ac:dyDescent="0.25">
      <c r="A42" s="109" t="s">
        <v>16</v>
      </c>
      <c r="B42" s="1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2683.17</v>
      </c>
      <c r="Z42" s="2"/>
      <c r="AA42" s="16">
        <v>199342.7</v>
      </c>
      <c r="AB42" s="16"/>
      <c r="AC42" s="16">
        <f>1258375.62</f>
        <v>1258375.6200000001</v>
      </c>
      <c r="AD42" s="16">
        <v>844102</v>
      </c>
      <c r="AE42" s="23">
        <f>AF42</f>
        <v>1362588.5</v>
      </c>
      <c r="AF42" s="23">
        <v>1362588.5</v>
      </c>
      <c r="AG42" s="23">
        <v>660120.76</v>
      </c>
      <c r="AH42" s="23">
        <v>660120.76</v>
      </c>
      <c r="AI42" s="16">
        <f>633441.77</f>
        <v>633441.77</v>
      </c>
      <c r="AJ42" s="16">
        <v>633441.77</v>
      </c>
      <c r="AK42" s="16"/>
      <c r="AL42" s="16"/>
      <c r="AM42" s="16">
        <f>574356.68+33966.57+174</f>
        <v>608497.25</v>
      </c>
      <c r="AN42" s="16">
        <v>574356.68000000005</v>
      </c>
      <c r="AO42" s="16"/>
      <c r="AP42" s="16"/>
      <c r="AQ42" s="24"/>
      <c r="AR42" s="24"/>
    </row>
    <row r="43" spans="1:44" x14ac:dyDescent="0.25">
      <c r="A43" s="111" t="s">
        <v>17</v>
      </c>
      <c r="B43" s="112"/>
      <c r="C43" s="115">
        <v>10765845.27</v>
      </c>
      <c r="D43" s="115">
        <v>7171240.7400000002</v>
      </c>
      <c r="E43" s="115">
        <f>SUM(E45:E49)</f>
        <v>13066265.32</v>
      </c>
      <c r="F43" s="115">
        <f>SUM(F45:F49)</f>
        <v>9363054.25</v>
      </c>
      <c r="G43" s="115">
        <f t="shared" ref="G43:AC43" si="9">SUM(G45:G49)</f>
        <v>12452961.670000002</v>
      </c>
      <c r="H43" s="115">
        <f t="shared" si="9"/>
        <v>10697359.270000001</v>
      </c>
      <c r="I43" s="115">
        <f t="shared" si="9"/>
        <v>10509503.82</v>
      </c>
      <c r="J43" s="115">
        <f t="shared" si="9"/>
        <v>9311032.910000002</v>
      </c>
      <c r="K43" s="115">
        <f t="shared" si="9"/>
        <v>9816963.7700000014</v>
      </c>
      <c r="L43" s="115">
        <f t="shared" si="9"/>
        <v>9514146.0000000019</v>
      </c>
      <c r="M43" s="115">
        <f t="shared" si="9"/>
        <v>10491903.119999999</v>
      </c>
      <c r="N43" s="115">
        <f t="shared" si="9"/>
        <v>10223094.629999999</v>
      </c>
      <c r="O43" s="115">
        <f t="shared" si="9"/>
        <v>11041075.82</v>
      </c>
      <c r="P43" s="115">
        <f t="shared" si="9"/>
        <v>9852688.540000001</v>
      </c>
      <c r="Q43" s="115">
        <f t="shared" si="9"/>
        <v>11491967.560000001</v>
      </c>
      <c r="R43" s="115">
        <f t="shared" si="9"/>
        <v>9865070.0600000005</v>
      </c>
      <c r="S43" s="115">
        <f t="shared" si="9"/>
        <v>12060303.5</v>
      </c>
      <c r="T43" s="115">
        <f t="shared" si="9"/>
        <v>10862190.040000001</v>
      </c>
      <c r="U43" s="115">
        <f t="shared" si="9"/>
        <v>11619250.300000001</v>
      </c>
      <c r="V43" s="115">
        <f t="shared" si="9"/>
        <v>9816511.040000001</v>
      </c>
      <c r="W43" s="115">
        <f t="shared" si="9"/>
        <v>11514591.1</v>
      </c>
      <c r="X43" s="115">
        <f t="shared" si="9"/>
        <v>10293165.02</v>
      </c>
      <c r="Y43" s="115">
        <f t="shared" si="9"/>
        <v>14972637.870000001</v>
      </c>
      <c r="Z43" s="115">
        <f t="shared" si="9"/>
        <v>11006589.689999999</v>
      </c>
      <c r="AA43" s="128">
        <f t="shared" si="9"/>
        <v>11434380.700000001</v>
      </c>
      <c r="AB43" s="128">
        <f t="shared" si="9"/>
        <v>1118646.56</v>
      </c>
      <c r="AC43" s="128">
        <f t="shared" si="9"/>
        <v>20378851.969999999</v>
      </c>
      <c r="AD43" s="128">
        <f t="shared" ref="AD43:AK43" si="10">AD45+AD46+AD47+AD48+AD49</f>
        <v>6845671.4899999993</v>
      </c>
      <c r="AE43" s="126">
        <f t="shared" si="10"/>
        <v>21821924</v>
      </c>
      <c r="AF43" s="126">
        <f t="shared" si="10"/>
        <v>1624721</v>
      </c>
      <c r="AG43" s="126">
        <f t="shared" si="10"/>
        <v>8640587.1999999993</v>
      </c>
      <c r="AH43" s="126">
        <f t="shared" si="10"/>
        <v>0</v>
      </c>
      <c r="AI43" s="122">
        <f t="shared" si="10"/>
        <v>16329235.25</v>
      </c>
      <c r="AJ43" s="122">
        <v>0</v>
      </c>
      <c r="AK43" s="122">
        <f t="shared" si="10"/>
        <v>5018242.82</v>
      </c>
      <c r="AL43" s="122">
        <v>0</v>
      </c>
      <c r="AM43" s="122">
        <f>AM45+AM46+AM47+AM48+AM49</f>
        <v>16482196.060000001</v>
      </c>
      <c r="AN43" s="122">
        <f>AN45+AN46+AN47+AN48+AN49</f>
        <v>0</v>
      </c>
      <c r="AO43" s="122">
        <f>AO45+AO46+AO47+AO48+AO49</f>
        <v>3275358</v>
      </c>
      <c r="AP43" s="122">
        <f>AP45+AP46+AP47+AP48+AP49</f>
        <v>0</v>
      </c>
      <c r="AQ43" s="116">
        <f>AM43/AI43-1</f>
        <v>9.3672978347225655E-3</v>
      </c>
      <c r="AR43" s="116">
        <f>AO43/AK43-1</f>
        <v>-0.34730978203242868</v>
      </c>
    </row>
    <row r="44" spans="1:44" x14ac:dyDescent="0.25">
      <c r="A44" s="113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5"/>
      <c r="AB44" s="125"/>
      <c r="AC44" s="125"/>
      <c r="AD44" s="125"/>
      <c r="AE44" s="127"/>
      <c r="AF44" s="127"/>
      <c r="AG44" s="127"/>
      <c r="AH44" s="127"/>
      <c r="AI44" s="123"/>
      <c r="AJ44" s="123"/>
      <c r="AK44" s="123"/>
      <c r="AL44" s="123"/>
      <c r="AM44" s="123"/>
      <c r="AN44" s="123"/>
      <c r="AO44" s="123"/>
      <c r="AP44" s="123"/>
      <c r="AQ44" s="117"/>
      <c r="AR44" s="117"/>
    </row>
    <row r="45" spans="1:44" x14ac:dyDescent="0.25">
      <c r="A45" s="109" t="s">
        <v>11</v>
      </c>
      <c r="B45" s="110"/>
      <c r="C45" s="2"/>
      <c r="D45" s="2"/>
      <c r="E45" s="2">
        <v>1445875.56</v>
      </c>
      <c r="F45" s="2">
        <v>504057.32</v>
      </c>
      <c r="G45" s="2">
        <f>15780.83+1401592.32</f>
        <v>1417373.1500000001</v>
      </c>
      <c r="H45" s="2">
        <f>497307.75</f>
        <v>497307.75</v>
      </c>
      <c r="I45" s="2">
        <f>14359.15+1094634.15</f>
        <v>1108993.2999999998</v>
      </c>
      <c r="J45" s="2">
        <v>581610.39</v>
      </c>
      <c r="K45" s="2">
        <f>45290.3+812014.95</f>
        <v>857305.25</v>
      </c>
      <c r="L45" s="2">
        <v>554487.48</v>
      </c>
      <c r="M45" s="2">
        <f>22392+828113.09</f>
        <v>850505.09</v>
      </c>
      <c r="N45" s="2">
        <f>581696.6</f>
        <v>581696.6</v>
      </c>
      <c r="O45" s="2">
        <f>24207.15+1590490.12</f>
        <v>1614697.27</v>
      </c>
      <c r="P45" s="2">
        <f>484794.48</f>
        <v>484794.48</v>
      </c>
      <c r="Q45" s="2">
        <v>1906086.62</v>
      </c>
      <c r="R45" s="2"/>
      <c r="S45" s="2">
        <f>23600.15+1705289.54</f>
        <v>1728889.69</v>
      </c>
      <c r="T45" s="2">
        <v>530776.23</v>
      </c>
      <c r="U45" s="2">
        <f>2268996.34+30919.15</f>
        <v>2299915.4899999998</v>
      </c>
      <c r="V45" s="2">
        <v>497176.23</v>
      </c>
      <c r="W45" s="2">
        <f>2127960.81+48959.2</f>
        <v>2176920.0100000002</v>
      </c>
      <c r="X45" s="2">
        <v>955493.93</v>
      </c>
      <c r="Y45" s="2">
        <v>2219644.2799999998</v>
      </c>
      <c r="Z45" s="2">
        <f>782752.86</f>
        <v>782752.86</v>
      </c>
      <c r="AA45" s="16">
        <f>25455.33+3676740.99</f>
        <v>3702196.3200000003</v>
      </c>
      <c r="AB45" s="16">
        <v>370926</v>
      </c>
      <c r="AC45" s="16">
        <f>25119.87+10218497.79</f>
        <v>10243617.659999998</v>
      </c>
      <c r="AD45" s="16">
        <v>3812324.48</v>
      </c>
      <c r="AE45" s="23">
        <f>92866+7505896.09</f>
        <v>7598762.0899999999</v>
      </c>
      <c r="AF45" s="23">
        <v>1624721</v>
      </c>
      <c r="AG45" s="23">
        <v>1546341.78</v>
      </c>
      <c r="AH45" s="13"/>
      <c r="AI45" s="16">
        <f>36469.87+5446750.25</f>
        <v>5483220.1200000001</v>
      </c>
      <c r="AJ45" s="33">
        <v>0</v>
      </c>
      <c r="AK45" s="16">
        <v>2700000</v>
      </c>
      <c r="AL45" s="16">
        <v>0</v>
      </c>
      <c r="AM45" s="16">
        <f>75232.13+5957330.48</f>
        <v>6032562.6100000003</v>
      </c>
      <c r="AN45" s="16"/>
      <c r="AO45" s="16">
        <v>2700000</v>
      </c>
      <c r="AP45" s="16"/>
      <c r="AQ45" s="24"/>
      <c r="AR45" s="24"/>
    </row>
    <row r="46" spans="1:44" x14ac:dyDescent="0.25">
      <c r="A46" s="109" t="s">
        <v>8</v>
      </c>
      <c r="B46" s="1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107414.79</v>
      </c>
      <c r="R46" s="2"/>
      <c r="S46" s="2"/>
      <c r="T46" s="2"/>
      <c r="U46" s="2"/>
      <c r="V46" s="2"/>
      <c r="W46" s="2"/>
      <c r="X46" s="2"/>
      <c r="Y46" s="2"/>
      <c r="Z46" s="2"/>
      <c r="AA46" s="16">
        <f>240366.78+3338386.23</f>
        <v>3578753.01</v>
      </c>
      <c r="AB46" s="16"/>
      <c r="AC46" s="16">
        <f>213303.85+3570475.36</f>
        <v>3783779.21</v>
      </c>
      <c r="AD46" s="16"/>
      <c r="AE46" s="23">
        <f>1048316.56+3892857.12</f>
        <v>4941173.68</v>
      </c>
      <c r="AF46" s="13"/>
      <c r="AG46" s="23"/>
      <c r="AH46" s="13"/>
      <c r="AI46" s="16">
        <f>1013379.37+4504888.09</f>
        <v>5518267.46</v>
      </c>
      <c r="AJ46" s="16"/>
      <c r="AK46" s="16"/>
      <c r="AL46" s="16"/>
      <c r="AM46" s="16">
        <f>1240860.67+6013228.68</f>
        <v>7254089.3499999996</v>
      </c>
      <c r="AN46" s="16"/>
      <c r="AO46" s="16"/>
      <c r="AP46" s="16"/>
      <c r="AQ46" s="24"/>
      <c r="AR46" s="24"/>
    </row>
    <row r="47" spans="1:44" x14ac:dyDescent="0.25">
      <c r="A47" s="109" t="s">
        <v>9</v>
      </c>
      <c r="B47" s="110"/>
      <c r="C47" s="2"/>
      <c r="D47" s="2"/>
      <c r="E47" s="2">
        <v>1463841.51</v>
      </c>
      <c r="F47" s="2"/>
      <c r="G47" s="2">
        <v>166700</v>
      </c>
      <c r="H47" s="2"/>
      <c r="I47" s="2"/>
      <c r="J47" s="2"/>
      <c r="K47" s="2"/>
      <c r="L47" s="2"/>
      <c r="M47" s="2"/>
      <c r="N47" s="2"/>
      <c r="O47" s="2">
        <v>27151.16</v>
      </c>
      <c r="P47" s="2"/>
      <c r="Q47" s="2">
        <v>78572.100000000006</v>
      </c>
      <c r="R47" s="2"/>
      <c r="S47" s="2"/>
      <c r="T47" s="2"/>
      <c r="U47" s="2"/>
      <c r="V47" s="2"/>
      <c r="W47" s="2"/>
      <c r="X47" s="2"/>
      <c r="Y47" s="2">
        <v>1439851.12</v>
      </c>
      <c r="Z47" s="2"/>
      <c r="AA47" s="16">
        <f>182858.49+1828141.64</f>
        <v>2011000.13</v>
      </c>
      <c r="AB47" s="16"/>
      <c r="AC47" s="16">
        <f>194574.38+2050743.86</f>
        <v>2245318.2400000002</v>
      </c>
      <c r="AD47" s="16"/>
      <c r="AE47" s="23">
        <f>763510.32+2959710.97+0.85</f>
        <v>3723222.14</v>
      </c>
      <c r="AF47" s="13"/>
      <c r="AG47" s="23">
        <f>317932.16+1222488.09</f>
        <v>1540420.25</v>
      </c>
      <c r="AH47" s="13"/>
      <c r="AI47" s="16">
        <f>840855.82+2166721.03</f>
        <v>3007576.8499999996</v>
      </c>
      <c r="AJ47" s="16"/>
      <c r="AK47" s="16"/>
      <c r="AL47" s="16"/>
      <c r="AM47" s="16">
        <f>476348+2143838.1</f>
        <v>2620186.1</v>
      </c>
      <c r="AN47" s="16"/>
      <c r="AO47" s="16"/>
      <c r="AP47" s="16"/>
      <c r="AQ47" s="24"/>
      <c r="AR47" s="24"/>
    </row>
    <row r="48" spans="1:44" x14ac:dyDescent="0.25">
      <c r="A48" s="109" t="s">
        <v>10</v>
      </c>
      <c r="B48" s="110"/>
      <c r="C48" s="2"/>
      <c r="D48" s="2"/>
      <c r="E48" s="2">
        <v>10156548.25</v>
      </c>
      <c r="F48" s="2">
        <v>8858996.9299999997</v>
      </c>
      <c r="G48" s="2">
        <f>317.3+10868571.22</f>
        <v>10868888.520000001</v>
      </c>
      <c r="H48" s="2">
        <f>10199734.22+317.3</f>
        <v>10200051.520000001</v>
      </c>
      <c r="I48" s="2">
        <f>317.3+9400193.22</f>
        <v>9400510.5200000014</v>
      </c>
      <c r="J48" s="2">
        <f>317.3+8729105.22</f>
        <v>8729422.5200000014</v>
      </c>
      <c r="K48" s="2">
        <f>317.3+8959341.22</f>
        <v>8959658.5200000014</v>
      </c>
      <c r="L48" s="2">
        <f>317.3+8959341.22</f>
        <v>8959658.5200000014</v>
      </c>
      <c r="M48" s="2">
        <v>9641398.0299999993</v>
      </c>
      <c r="N48" s="2">
        <v>9641398.0299999993</v>
      </c>
      <c r="O48" s="2">
        <f>9367894.06</f>
        <v>9367894.0600000005</v>
      </c>
      <c r="P48" s="2">
        <f>9367894.06</f>
        <v>9367894.0600000005</v>
      </c>
      <c r="Q48" s="2">
        <f>9367894.06</f>
        <v>9367894.0600000005</v>
      </c>
      <c r="R48" s="2">
        <v>9865070.0600000005</v>
      </c>
      <c r="S48" s="2">
        <v>10331413.810000001</v>
      </c>
      <c r="T48" s="2">
        <v>10331413.810000001</v>
      </c>
      <c r="U48" s="2">
        <v>9319334.8100000005</v>
      </c>
      <c r="V48" s="2">
        <v>9319334.8100000005</v>
      </c>
      <c r="W48" s="2">
        <f>9337671.09</f>
        <v>9337671.0899999999</v>
      </c>
      <c r="X48" s="2">
        <v>9337671.0899999999</v>
      </c>
      <c r="Y48" s="2">
        <v>11178667.26</v>
      </c>
      <c r="Z48" s="2">
        <v>10089361.619999999</v>
      </c>
      <c r="AA48" s="16">
        <f>41557.97+1353152.71</f>
        <v>1394710.68</v>
      </c>
      <c r="AB48" s="16"/>
      <c r="AC48" s="16">
        <f>79834.83+2444326.98</f>
        <v>2524161.81</v>
      </c>
      <c r="AD48" s="16">
        <v>1451371.96</v>
      </c>
      <c r="AE48" s="23">
        <f>15039+567180.92</f>
        <v>582219.92000000004</v>
      </c>
      <c r="AF48" s="13"/>
      <c r="AG48" s="23">
        <f>15039+562240</f>
        <v>577279</v>
      </c>
      <c r="AH48" s="13"/>
      <c r="AI48" s="16">
        <v>497002</v>
      </c>
      <c r="AJ48" s="16"/>
      <c r="AK48" s="16">
        <v>495074</v>
      </c>
      <c r="AL48" s="16"/>
      <c r="AM48" s="16">
        <v>575358</v>
      </c>
      <c r="AN48" s="16"/>
      <c r="AO48" s="16">
        <v>575358</v>
      </c>
      <c r="AP48" s="16"/>
      <c r="AQ48" s="24"/>
      <c r="AR48" s="24"/>
    </row>
    <row r="49" spans="1:44" ht="15.75" customHeight="1" x14ac:dyDescent="0.25">
      <c r="A49" s="109" t="s">
        <v>16</v>
      </c>
      <c r="B49" s="1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31333.33</v>
      </c>
      <c r="P49" s="2"/>
      <c r="Q49" s="2">
        <v>31999.99</v>
      </c>
      <c r="R49" s="2"/>
      <c r="S49" s="2"/>
      <c r="T49" s="2"/>
      <c r="U49" s="2"/>
      <c r="V49" s="2"/>
      <c r="W49" s="2"/>
      <c r="X49" s="2"/>
      <c r="Y49" s="2">
        <v>134475.21</v>
      </c>
      <c r="Z49" s="2">
        <v>134475.21</v>
      </c>
      <c r="AA49" s="16">
        <v>747720.56</v>
      </c>
      <c r="AB49" s="16">
        <v>747720.56</v>
      </c>
      <c r="AC49" s="16">
        <v>1581975.05</v>
      </c>
      <c r="AD49" s="16">
        <v>1581975.05</v>
      </c>
      <c r="AE49" s="23">
        <v>4976546.17</v>
      </c>
      <c r="AF49" s="13"/>
      <c r="AG49" s="23">
        <v>4976546.17</v>
      </c>
      <c r="AH49" s="13"/>
      <c r="AI49" s="16">
        <v>1823168.82</v>
      </c>
      <c r="AJ49" s="16"/>
      <c r="AK49" s="16">
        <v>1823168.82</v>
      </c>
      <c r="AL49" s="16"/>
      <c r="AM49" s="13"/>
      <c r="AN49" s="13"/>
      <c r="AO49" s="13"/>
      <c r="AP49" s="13"/>
      <c r="AQ49" s="31"/>
      <c r="AR49" s="31"/>
    </row>
    <row r="50" spans="1:44" ht="4.5" hidden="1" customHeight="1" x14ac:dyDescent="0.25">
      <c r="A50" s="111" t="s">
        <v>4</v>
      </c>
      <c r="B50" s="112"/>
      <c r="C50" s="115">
        <v>654159.29</v>
      </c>
      <c r="D50" s="115">
        <f>SUM(D52:D56)</f>
        <v>0</v>
      </c>
      <c r="E50" s="115">
        <f t="shared" ref="E50:Z50" si="11">SUM(E52:E56)</f>
        <v>159427.71</v>
      </c>
      <c r="F50" s="115">
        <f t="shared" si="11"/>
        <v>156150</v>
      </c>
      <c r="G50" s="115">
        <f t="shared" si="11"/>
        <v>166323.26</v>
      </c>
      <c r="H50" s="115">
        <f t="shared" si="11"/>
        <v>156150</v>
      </c>
      <c r="I50" s="115">
        <f t="shared" si="11"/>
        <v>158187.54</v>
      </c>
      <c r="J50" s="115">
        <f t="shared" si="11"/>
        <v>156150</v>
      </c>
      <c r="K50" s="115">
        <f t="shared" si="11"/>
        <v>157389.10999999999</v>
      </c>
      <c r="L50" s="115">
        <f t="shared" si="11"/>
        <v>156150</v>
      </c>
      <c r="M50" s="115">
        <f t="shared" si="11"/>
        <v>162310.56</v>
      </c>
      <c r="N50" s="115">
        <f t="shared" si="11"/>
        <v>156150</v>
      </c>
      <c r="O50" s="115">
        <f t="shared" si="11"/>
        <v>158206.72</v>
      </c>
      <c r="P50" s="115">
        <f t="shared" si="11"/>
        <v>156150</v>
      </c>
      <c r="Q50" s="115">
        <f t="shared" si="11"/>
        <v>162910.32999999999</v>
      </c>
      <c r="R50" s="115">
        <f t="shared" si="11"/>
        <v>156150</v>
      </c>
      <c r="S50" s="115">
        <f t="shared" si="11"/>
        <v>159608.60999999999</v>
      </c>
      <c r="T50" s="115">
        <f t="shared" si="11"/>
        <v>156150</v>
      </c>
      <c r="U50" s="115">
        <f t="shared" si="11"/>
        <v>157986.35</v>
      </c>
      <c r="V50" s="115">
        <f t="shared" si="11"/>
        <v>156150</v>
      </c>
      <c r="W50" s="115">
        <f t="shared" si="11"/>
        <v>159926.9</v>
      </c>
      <c r="X50" s="115">
        <f t="shared" si="11"/>
        <v>156150</v>
      </c>
      <c r="Y50" s="115">
        <f t="shared" si="11"/>
        <v>0</v>
      </c>
      <c r="Z50" s="115">
        <f t="shared" si="11"/>
        <v>0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129">
        <f>Y50/E50-1</f>
        <v>-1</v>
      </c>
      <c r="AR50" s="129">
        <f>Z50/F50-1</f>
        <v>-1</v>
      </c>
    </row>
    <row r="51" spans="1:44" hidden="1" x14ac:dyDescent="0.25">
      <c r="A51" s="113"/>
      <c r="B51" s="11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130"/>
      <c r="AR51" s="130"/>
    </row>
    <row r="52" spans="1:44" hidden="1" x14ac:dyDescent="0.25">
      <c r="A52" s="109" t="s">
        <v>11</v>
      </c>
      <c r="B52" s="110"/>
      <c r="C52" s="2"/>
      <c r="D52" s="2"/>
      <c r="E52" s="2">
        <v>2936.71</v>
      </c>
      <c r="F52" s="2"/>
      <c r="G52" s="2">
        <v>10173.26</v>
      </c>
      <c r="H52" s="2"/>
      <c r="I52" s="2">
        <v>2037.54</v>
      </c>
      <c r="J52" s="2"/>
      <c r="K52" s="2">
        <v>1239.1099999999999</v>
      </c>
      <c r="L52" s="2"/>
      <c r="M52" s="2">
        <v>6160.56</v>
      </c>
      <c r="N52" s="2"/>
      <c r="O52" s="2">
        <v>2056.7199999999998</v>
      </c>
      <c r="P52" s="2"/>
      <c r="Q52" s="2">
        <v>4968.33</v>
      </c>
      <c r="R52" s="2"/>
      <c r="S52" s="2">
        <v>3458.61</v>
      </c>
      <c r="T52" s="2"/>
      <c r="U52" s="2">
        <v>1836.35</v>
      </c>
      <c r="V52" s="2"/>
      <c r="W52" s="2">
        <v>3776.9</v>
      </c>
      <c r="X52" s="2"/>
      <c r="Y52" s="2"/>
      <c r="Z52" s="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31"/>
      <c r="AR52" s="31"/>
    </row>
    <row r="53" spans="1:44" hidden="1" x14ac:dyDescent="0.25">
      <c r="A53" s="109" t="s">
        <v>8</v>
      </c>
      <c r="B53" s="1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31"/>
      <c r="AR53" s="31"/>
    </row>
    <row r="54" spans="1:44" hidden="1" x14ac:dyDescent="0.25">
      <c r="A54" s="109" t="s">
        <v>9</v>
      </c>
      <c r="B54" s="110"/>
      <c r="C54" s="2"/>
      <c r="D54" s="2"/>
      <c r="E54" s="2">
        <v>-10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31"/>
      <c r="AR54" s="31"/>
    </row>
    <row r="55" spans="1:44" hidden="1" x14ac:dyDescent="0.25">
      <c r="A55" s="109" t="s">
        <v>10</v>
      </c>
      <c r="B55" s="110"/>
      <c r="C55" s="2"/>
      <c r="D55" s="2"/>
      <c r="E55" s="2">
        <v>351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1792</v>
      </c>
      <c r="R55" s="2"/>
      <c r="S55" s="2"/>
      <c r="T55" s="2"/>
      <c r="U55" s="2"/>
      <c r="V55" s="2"/>
      <c r="W55" s="2"/>
      <c r="X55" s="2"/>
      <c r="Y55" s="2"/>
      <c r="Z55" s="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1"/>
      <c r="AR55" s="31"/>
    </row>
    <row r="56" spans="1:44" hidden="1" x14ac:dyDescent="0.25">
      <c r="A56" s="109" t="s">
        <v>16</v>
      </c>
      <c r="B56" s="110"/>
      <c r="C56" s="2"/>
      <c r="D56" s="2"/>
      <c r="E56" s="2">
        <v>156150</v>
      </c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0</v>
      </c>
      <c r="Z56" s="2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1"/>
      <c r="AR56" s="31"/>
    </row>
    <row r="57" spans="1:44" x14ac:dyDescent="0.25">
      <c r="A57" s="111" t="s">
        <v>18</v>
      </c>
      <c r="B57" s="112"/>
      <c r="C57" s="107">
        <v>10829169.880000001</v>
      </c>
      <c r="D57" s="107">
        <f>1640975.89+2975186.97+988391.8</f>
        <v>5604554.6600000001</v>
      </c>
      <c r="E57" s="107">
        <f>SUM(E59:E63)</f>
        <v>6197764.7700000005</v>
      </c>
      <c r="F57" s="107">
        <f>SUM(F59:F63)</f>
        <v>3749667.49</v>
      </c>
      <c r="G57" s="107">
        <f t="shared" ref="G57:AD57" si="12">SUM(G59:G63)</f>
        <v>6852948.2799999993</v>
      </c>
      <c r="H57" s="107">
        <f t="shared" si="12"/>
        <v>3749667.49</v>
      </c>
      <c r="I57" s="107">
        <f t="shared" si="12"/>
        <v>5929212.6499999994</v>
      </c>
      <c r="J57" s="107">
        <f t="shared" si="12"/>
        <v>2974471.0500000003</v>
      </c>
      <c r="K57" s="107">
        <f t="shared" si="12"/>
        <v>7559967.5599999996</v>
      </c>
      <c r="L57" s="107">
        <f t="shared" si="12"/>
        <v>2974471.0500000003</v>
      </c>
      <c r="M57" s="107">
        <f t="shared" si="12"/>
        <v>6930316.6799999997</v>
      </c>
      <c r="N57" s="107">
        <f t="shared" si="12"/>
        <v>4894294.6399999997</v>
      </c>
      <c r="O57" s="107">
        <f t="shared" si="12"/>
        <v>7219255.4799999995</v>
      </c>
      <c r="P57" s="107">
        <f t="shared" si="12"/>
        <v>4894294.6399999997</v>
      </c>
      <c r="Q57" s="107">
        <f t="shared" si="12"/>
        <v>9600917.8499999996</v>
      </c>
      <c r="R57" s="107">
        <f t="shared" si="12"/>
        <v>4651292.82</v>
      </c>
      <c r="S57" s="107">
        <f t="shared" si="12"/>
        <v>8525632.5199999996</v>
      </c>
      <c r="T57" s="107">
        <f t="shared" si="12"/>
        <v>4005766.16</v>
      </c>
      <c r="U57" s="107">
        <f t="shared" si="12"/>
        <v>10599393.380000001</v>
      </c>
      <c r="V57" s="107">
        <f t="shared" si="12"/>
        <v>1496363.55</v>
      </c>
      <c r="W57" s="107">
        <f t="shared" si="12"/>
        <v>20377243.73</v>
      </c>
      <c r="X57" s="107">
        <f t="shared" si="12"/>
        <v>1496363.55</v>
      </c>
      <c r="Y57" s="107">
        <f t="shared" si="12"/>
        <v>20412653.610000003</v>
      </c>
      <c r="Z57" s="107">
        <f t="shared" si="12"/>
        <v>13308419.82</v>
      </c>
      <c r="AA57" s="124">
        <f t="shared" si="12"/>
        <v>54055934.440000005</v>
      </c>
      <c r="AB57" s="124">
        <f t="shared" si="12"/>
        <v>17697811.539999999</v>
      </c>
      <c r="AC57" s="124">
        <f t="shared" si="12"/>
        <v>61418098.109999999</v>
      </c>
      <c r="AD57" s="124">
        <f t="shared" si="12"/>
        <v>39172056.890000001</v>
      </c>
      <c r="AE57" s="118">
        <f>AE59+AE60+AE61+AE62+AE63</f>
        <v>12238071.009999998</v>
      </c>
      <c r="AF57" s="118">
        <f>AF59+AF60+AF61+AF62+AF63</f>
        <v>4454905.63</v>
      </c>
      <c r="AG57" s="118">
        <f>AG59+AG60+AG61+AG62+AG63</f>
        <v>401041.57</v>
      </c>
      <c r="AH57" s="118">
        <f>AH59+AH60+AH61+AH62+AH63</f>
        <v>0</v>
      </c>
      <c r="AI57" s="120">
        <f>AI59+AI60+AI61+AI62+AI63</f>
        <v>75253.62</v>
      </c>
      <c r="AJ57" s="120">
        <v>0</v>
      </c>
      <c r="AK57" s="120">
        <v>0</v>
      </c>
      <c r="AL57" s="120">
        <v>0</v>
      </c>
      <c r="AM57" s="120">
        <f>AM59+AM60+AM61+AM62+AM63</f>
        <v>0</v>
      </c>
      <c r="AN57" s="120">
        <f>AN59+AN60+AN61+AN62+AN63</f>
        <v>0</v>
      </c>
      <c r="AO57" s="120">
        <f>AO59+AO60+AO61+AO62+AO63</f>
        <v>0</v>
      </c>
      <c r="AP57" s="120">
        <f>AP59+AP60+AP61+AP62+AP63</f>
        <v>0</v>
      </c>
      <c r="AQ57" s="116">
        <f>AM57/AI57-1</f>
        <v>-1</v>
      </c>
      <c r="AR57" s="116" t="e">
        <f>AO57/AK57-1</f>
        <v>#DIV/0!</v>
      </c>
    </row>
    <row r="58" spans="1:44" x14ac:dyDescent="0.25">
      <c r="A58" s="113"/>
      <c r="B58" s="11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5"/>
      <c r="AB58" s="125"/>
      <c r="AC58" s="125"/>
      <c r="AD58" s="125"/>
      <c r="AE58" s="119"/>
      <c r="AF58" s="119"/>
      <c r="AG58" s="119"/>
      <c r="AH58" s="119"/>
      <c r="AI58" s="121"/>
      <c r="AJ58" s="121"/>
      <c r="AK58" s="121"/>
      <c r="AL58" s="121"/>
      <c r="AM58" s="121"/>
      <c r="AN58" s="121"/>
      <c r="AO58" s="121"/>
      <c r="AP58" s="121"/>
      <c r="AQ58" s="117"/>
      <c r="AR58" s="117"/>
    </row>
    <row r="59" spans="1:44" x14ac:dyDescent="0.25">
      <c r="A59" s="109" t="s">
        <v>11</v>
      </c>
      <c r="B59" s="110"/>
      <c r="C59" s="1"/>
      <c r="D59" s="1"/>
      <c r="E59" s="1">
        <v>6195284.0800000001</v>
      </c>
      <c r="F59" s="1">
        <f>3363056.56+386610.93</f>
        <v>3749667.49</v>
      </c>
      <c r="G59" s="1">
        <f>2263909.36+4559378.25</f>
        <v>6823287.6099999994</v>
      </c>
      <c r="H59" s="1">
        <f>386610.93+3363056.56</f>
        <v>3749667.49</v>
      </c>
      <c r="I59" s="1">
        <f>1799893.76+4099496.79</f>
        <v>5899390.5499999998</v>
      </c>
      <c r="J59" s="1">
        <f>386610.93+2587860.12</f>
        <v>2974471.0500000003</v>
      </c>
      <c r="K59" s="1">
        <f>5416106.16+2141154.26+1386.18+1320.96</f>
        <v>7559967.5599999996</v>
      </c>
      <c r="L59" s="1">
        <f>2587860.12+386610.93</f>
        <v>2974471.0500000003</v>
      </c>
      <c r="M59" s="1">
        <v>6930316.6799999997</v>
      </c>
      <c r="N59" s="1">
        <v>4894294.6399999997</v>
      </c>
      <c r="O59" s="1">
        <f>1865798.47+5348998.75</f>
        <v>7214797.2199999997</v>
      </c>
      <c r="P59" s="1">
        <f>386610.93+4507683.71</f>
        <v>4894294.6399999997</v>
      </c>
      <c r="Q59" s="1">
        <v>9600917.8499999996</v>
      </c>
      <c r="R59" s="1">
        <v>4651292.82</v>
      </c>
      <c r="S59" s="1">
        <f>2951333.92+5555295.68+15251.76+3751.16</f>
        <v>8525632.5199999996</v>
      </c>
      <c r="T59" s="1">
        <f>3619155.23+386610.93</f>
        <v>4005766.16</v>
      </c>
      <c r="U59" s="1">
        <f>1992205.58+8591549.02+5323.15+10315.63</f>
        <v>10599393.380000001</v>
      </c>
      <c r="V59" s="1">
        <f>1109752.62+386610.93</f>
        <v>1496363.55</v>
      </c>
      <c r="W59" s="1">
        <f>10545735.23+9823125.67+3422.46+4960.37</f>
        <v>20377243.73</v>
      </c>
      <c r="X59" s="1">
        <f>386610.93+1109752.62</f>
        <v>1496363.55</v>
      </c>
      <c r="Y59" s="1">
        <v>20441640.960000001</v>
      </c>
      <c r="Z59" s="1">
        <v>13308419.82</v>
      </c>
      <c r="AA59" s="19">
        <f>33166250.55+116.03+20185020.65+10333.24-153588.27</f>
        <v>53208132.200000003</v>
      </c>
      <c r="AB59" s="19">
        <f>17535000.48+162811.06-153588.27</f>
        <v>17544223.27</v>
      </c>
      <c r="AC59" s="19">
        <f>44014737.97+19482.3+16465957.71</f>
        <v>60500177.979999997</v>
      </c>
      <c r="AD59" s="19">
        <f>29503554.98+9668501.91</f>
        <v>39172056.890000001</v>
      </c>
      <c r="AE59" s="28">
        <v>11770839.189999999</v>
      </c>
      <c r="AF59" s="28">
        <v>4454905.63</v>
      </c>
      <c r="AG59" s="28">
        <v>401041.57</v>
      </c>
      <c r="AH59" s="12"/>
      <c r="AI59" s="19">
        <v>75253.62</v>
      </c>
      <c r="AJ59" s="19">
        <v>0</v>
      </c>
      <c r="AK59" s="19">
        <v>0</v>
      </c>
      <c r="AL59" s="19"/>
      <c r="AM59" s="19"/>
      <c r="AN59" s="19"/>
      <c r="AO59" s="19"/>
      <c r="AP59" s="19"/>
      <c r="AQ59" s="34"/>
      <c r="AR59" s="34"/>
    </row>
    <row r="60" spans="1:44" x14ac:dyDescent="0.25">
      <c r="A60" s="109" t="s">
        <v>8</v>
      </c>
      <c r="B60" s="1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9">
        <f>174701.03+239873.77</f>
        <v>414574.8</v>
      </c>
      <c r="AB60" s="19"/>
      <c r="AC60" s="19">
        <f>340113.75+6309.58+298211.41</f>
        <v>644634.74</v>
      </c>
      <c r="AD60" s="19"/>
      <c r="AE60" s="28">
        <f>180975.63+90797+9669.95</f>
        <v>281442.58</v>
      </c>
      <c r="AF60" s="12"/>
      <c r="AG60" s="12"/>
      <c r="AH60" s="12"/>
      <c r="AI60" s="19"/>
      <c r="AJ60" s="19"/>
      <c r="AK60" s="19"/>
      <c r="AL60" s="19"/>
      <c r="AM60" s="19"/>
      <c r="AN60" s="19"/>
      <c r="AO60" s="19"/>
      <c r="AP60" s="19"/>
      <c r="AQ60" s="34"/>
      <c r="AR60" s="34"/>
    </row>
    <row r="61" spans="1:44" x14ac:dyDescent="0.25">
      <c r="A61" s="109" t="s">
        <v>9</v>
      </c>
      <c r="B61" s="110"/>
      <c r="C61" s="1"/>
      <c r="D61" s="1"/>
      <c r="E61" s="1"/>
      <c r="F61" s="1"/>
      <c r="G61" s="1">
        <v>-0.01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9">
        <v>150004.17000000001</v>
      </c>
      <c r="AB61" s="19"/>
      <c r="AC61" s="19">
        <f>218911.42+53273.97</f>
        <v>272185.39</v>
      </c>
      <c r="AD61" s="19"/>
      <c r="AE61" s="28">
        <v>185472.7</v>
      </c>
      <c r="AF61" s="12"/>
      <c r="AG61" s="12"/>
      <c r="AH61" s="12"/>
      <c r="AI61" s="19"/>
      <c r="AJ61" s="19"/>
      <c r="AK61" s="19"/>
      <c r="AL61" s="19"/>
      <c r="AM61" s="19"/>
      <c r="AN61" s="19"/>
      <c r="AO61" s="19"/>
      <c r="AP61" s="19"/>
      <c r="AQ61" s="34"/>
      <c r="AR61" s="34"/>
    </row>
    <row r="62" spans="1:44" x14ac:dyDescent="0.25">
      <c r="A62" s="109" t="s">
        <v>10</v>
      </c>
      <c r="B62" s="110"/>
      <c r="C62" s="1"/>
      <c r="D62" s="1"/>
      <c r="E62" s="1"/>
      <c r="F62" s="1"/>
      <c r="G62" s="1">
        <v>-67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-94199.79</v>
      </c>
      <c r="Z62" s="1"/>
      <c r="AA62" s="19">
        <f>129635</f>
        <v>129635</v>
      </c>
      <c r="AB62" s="19"/>
      <c r="AC62" s="19"/>
      <c r="AD62" s="19"/>
      <c r="AE62" s="28"/>
      <c r="AF62" s="12"/>
      <c r="AG62" s="12"/>
      <c r="AH62" s="12"/>
      <c r="AI62" s="19"/>
      <c r="AJ62" s="19"/>
      <c r="AK62" s="19"/>
      <c r="AL62" s="19"/>
      <c r="AM62" s="19"/>
      <c r="AN62" s="19"/>
      <c r="AO62" s="19"/>
      <c r="AP62" s="19"/>
      <c r="AQ62" s="34"/>
      <c r="AR62" s="34"/>
    </row>
    <row r="63" spans="1:44" x14ac:dyDescent="0.25">
      <c r="A63" s="109" t="s">
        <v>16</v>
      </c>
      <c r="B63" s="110"/>
      <c r="C63" s="1"/>
      <c r="D63" s="1"/>
      <c r="E63" s="1">
        <v>2480.69</v>
      </c>
      <c r="F63" s="1"/>
      <c r="G63" s="1">
        <f>10138.57+19589.11</f>
        <v>29727.68</v>
      </c>
      <c r="H63" s="1"/>
      <c r="I63" s="1">
        <f>14183.88+15638.22</f>
        <v>29822.1</v>
      </c>
      <c r="J63" s="1"/>
      <c r="K63" s="1"/>
      <c r="L63" s="1"/>
      <c r="M63" s="1"/>
      <c r="N63" s="1"/>
      <c r="O63" s="1">
        <v>4458.26</v>
      </c>
      <c r="P63" s="1"/>
      <c r="Q63" s="1"/>
      <c r="R63" s="1"/>
      <c r="S63" s="1"/>
      <c r="T63" s="1"/>
      <c r="U63" s="1"/>
      <c r="V63" s="1"/>
      <c r="W63" s="1"/>
      <c r="X63" s="1"/>
      <c r="Y63" s="1">
        <v>65212.44</v>
      </c>
      <c r="Z63" s="1"/>
      <c r="AA63" s="19">
        <v>153588.26999999999</v>
      </c>
      <c r="AB63" s="19">
        <v>153588.26999999999</v>
      </c>
      <c r="AC63" s="19">
        <v>1100</v>
      </c>
      <c r="AD63" s="19"/>
      <c r="AE63" s="28">
        <v>316.54000000000002</v>
      </c>
      <c r="AF63" s="12"/>
      <c r="AG63" s="12"/>
      <c r="AH63" s="12"/>
      <c r="AI63" s="19"/>
      <c r="AJ63" s="19"/>
      <c r="AK63" s="19"/>
      <c r="AL63" s="19"/>
      <c r="AM63" s="19"/>
      <c r="AN63" s="19"/>
      <c r="AO63" s="19"/>
      <c r="AP63" s="19"/>
      <c r="AQ63" s="34"/>
      <c r="AR63" s="34"/>
    </row>
    <row r="64" spans="1:44" x14ac:dyDescent="0.25">
      <c r="A64" s="111" t="s">
        <v>15</v>
      </c>
      <c r="B64" s="112"/>
      <c r="C64" s="115">
        <v>-1470.89</v>
      </c>
      <c r="D64" s="115">
        <f>SUM(D66:D70)</f>
        <v>0</v>
      </c>
      <c r="E64" s="115">
        <f t="shared" ref="E64:AB64" si="13">SUM(E66:E70)</f>
        <v>741.25</v>
      </c>
      <c r="F64" s="115">
        <f t="shared" si="13"/>
        <v>0</v>
      </c>
      <c r="G64" s="115">
        <f t="shared" si="13"/>
        <v>0</v>
      </c>
      <c r="H64" s="115">
        <f t="shared" si="13"/>
        <v>0</v>
      </c>
      <c r="I64" s="115">
        <f t="shared" si="13"/>
        <v>0</v>
      </c>
      <c r="J64" s="115">
        <f t="shared" si="13"/>
        <v>0</v>
      </c>
      <c r="K64" s="115">
        <f t="shared" si="13"/>
        <v>0</v>
      </c>
      <c r="L64" s="115">
        <f t="shared" si="13"/>
        <v>0</v>
      </c>
      <c r="M64" s="115">
        <f t="shared" si="13"/>
        <v>0</v>
      </c>
      <c r="N64" s="115">
        <f t="shared" si="13"/>
        <v>0</v>
      </c>
      <c r="O64" s="115">
        <f t="shared" si="13"/>
        <v>0</v>
      </c>
      <c r="P64" s="115">
        <f t="shared" si="13"/>
        <v>0</v>
      </c>
      <c r="Q64" s="115">
        <f t="shared" si="13"/>
        <v>0</v>
      </c>
      <c r="R64" s="115">
        <f t="shared" si="13"/>
        <v>0</v>
      </c>
      <c r="S64" s="115">
        <f t="shared" si="13"/>
        <v>0</v>
      </c>
      <c r="T64" s="115">
        <f t="shared" si="13"/>
        <v>0</v>
      </c>
      <c r="U64" s="115">
        <f t="shared" si="13"/>
        <v>0</v>
      </c>
      <c r="V64" s="115">
        <f t="shared" si="13"/>
        <v>0</v>
      </c>
      <c r="W64" s="115">
        <f t="shared" si="13"/>
        <v>0</v>
      </c>
      <c r="X64" s="115">
        <f t="shared" si="13"/>
        <v>0</v>
      </c>
      <c r="Y64" s="115">
        <f t="shared" si="13"/>
        <v>0</v>
      </c>
      <c r="Z64" s="115">
        <f t="shared" si="13"/>
        <v>0</v>
      </c>
      <c r="AA64" s="128">
        <f>AA66+AA67+AA68+AA69+AA70</f>
        <v>84248.31</v>
      </c>
      <c r="AB64" s="128">
        <f t="shared" si="13"/>
        <v>0</v>
      </c>
      <c r="AC64" s="128">
        <f>SUM(AC66:AC70)</f>
        <v>130082.92000000001</v>
      </c>
      <c r="AD64" s="128">
        <f>SUM(AD66:AD70)</f>
        <v>0</v>
      </c>
      <c r="AE64" s="126">
        <f t="shared" ref="AE64:AL64" si="14">AE66+AE67+AE68+AE69+AE70</f>
        <v>122664.07</v>
      </c>
      <c r="AF64" s="126">
        <f t="shared" si="14"/>
        <v>0</v>
      </c>
      <c r="AG64" s="126">
        <f t="shared" si="14"/>
        <v>0</v>
      </c>
      <c r="AH64" s="126">
        <f t="shared" si="14"/>
        <v>0</v>
      </c>
      <c r="AI64" s="122">
        <f t="shared" si="14"/>
        <v>45365.68</v>
      </c>
      <c r="AJ64" s="122">
        <f t="shared" si="14"/>
        <v>0</v>
      </c>
      <c r="AK64" s="122">
        <v>0</v>
      </c>
      <c r="AL64" s="122">
        <f t="shared" si="14"/>
        <v>0</v>
      </c>
      <c r="AM64" s="122">
        <f>AM66+AM67+AM68+AM69+AM70</f>
        <v>43910.7</v>
      </c>
      <c r="AN64" s="122">
        <f>AN66+AN67+AN68+AN69+AN70</f>
        <v>0</v>
      </c>
      <c r="AO64" s="122">
        <f>AO66+AO67+AO68+AO69+AO70</f>
        <v>0</v>
      </c>
      <c r="AP64" s="122">
        <f>AP66+AP67+AP68+AP69+AP70</f>
        <v>0</v>
      </c>
      <c r="AQ64" s="116">
        <f>AM64/AI64-1</f>
        <v>-3.2072262556187892E-2</v>
      </c>
      <c r="AR64" s="116" t="e">
        <f>AO64/AK64-1</f>
        <v>#DIV/0!</v>
      </c>
    </row>
    <row r="65" spans="1:44" x14ac:dyDescent="0.25">
      <c r="A65" s="113"/>
      <c r="B65" s="11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25"/>
      <c r="AB65" s="125"/>
      <c r="AC65" s="131"/>
      <c r="AD65" s="125"/>
      <c r="AE65" s="127"/>
      <c r="AF65" s="127"/>
      <c r="AG65" s="127"/>
      <c r="AH65" s="127"/>
      <c r="AI65" s="123"/>
      <c r="AJ65" s="123"/>
      <c r="AK65" s="123"/>
      <c r="AL65" s="123"/>
      <c r="AM65" s="123"/>
      <c r="AN65" s="123"/>
      <c r="AO65" s="123"/>
      <c r="AP65" s="123"/>
      <c r="AQ65" s="117"/>
      <c r="AR65" s="117"/>
    </row>
    <row r="66" spans="1:44" x14ac:dyDescent="0.25">
      <c r="A66" s="109" t="s">
        <v>11</v>
      </c>
      <c r="B66" s="110"/>
      <c r="C66" s="2"/>
      <c r="D66" s="2"/>
      <c r="E66" s="2">
        <v>741.25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6"/>
      <c r="AB66" s="16"/>
      <c r="AC66" s="16">
        <v>5034.4399999999996</v>
      </c>
      <c r="AD66" s="13"/>
      <c r="AE66" s="23">
        <v>354.61</v>
      </c>
      <c r="AF66" s="23"/>
      <c r="AG66" s="23"/>
      <c r="AH66" s="23"/>
      <c r="AI66" s="16"/>
      <c r="AJ66" s="16"/>
      <c r="AK66" s="16"/>
      <c r="AL66" s="16"/>
      <c r="AM66" s="16"/>
      <c r="AN66" s="16"/>
      <c r="AO66" s="16"/>
      <c r="AP66" s="16"/>
      <c r="AQ66" s="24"/>
      <c r="AR66" s="24"/>
    </row>
    <row r="67" spans="1:44" x14ac:dyDescent="0.25">
      <c r="A67" s="109" t="s">
        <v>8</v>
      </c>
      <c r="B67" s="110"/>
      <c r="C67" s="2"/>
      <c r="D67" s="2"/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">
        <v>53091.66</v>
      </c>
      <c r="AB67" s="16"/>
      <c r="AC67" s="16">
        <v>81730</v>
      </c>
      <c r="AD67" s="13"/>
      <c r="AE67" s="23">
        <v>82376</v>
      </c>
      <c r="AF67" s="23"/>
      <c r="AG67" s="23"/>
      <c r="AH67" s="23"/>
      <c r="AI67" s="16">
        <v>28290.47</v>
      </c>
      <c r="AJ67" s="16"/>
      <c r="AK67" s="16"/>
      <c r="AL67" s="16"/>
      <c r="AM67" s="16">
        <v>28300</v>
      </c>
      <c r="AN67" s="16"/>
      <c r="AO67" s="16"/>
      <c r="AP67" s="16"/>
      <c r="AQ67" s="24"/>
      <c r="AR67" s="24"/>
    </row>
    <row r="68" spans="1:44" x14ac:dyDescent="0.25">
      <c r="A68" s="109" t="s">
        <v>9</v>
      </c>
      <c r="B68" s="110"/>
      <c r="C68" s="2"/>
      <c r="D68" s="2"/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31156.65</v>
      </c>
      <c r="AB68" s="16"/>
      <c r="AC68" s="16">
        <v>43318.48</v>
      </c>
      <c r="AD68" s="13"/>
      <c r="AE68" s="23">
        <v>39933.46</v>
      </c>
      <c r="AF68" s="23"/>
      <c r="AG68" s="23"/>
      <c r="AH68" s="23"/>
      <c r="AI68" s="16"/>
      <c r="AJ68" s="16"/>
      <c r="AK68" s="16"/>
      <c r="AL68" s="16"/>
      <c r="AM68" s="16"/>
      <c r="AN68" s="16"/>
      <c r="AO68" s="16"/>
      <c r="AP68" s="16"/>
      <c r="AQ68" s="24"/>
      <c r="AR68" s="24"/>
    </row>
    <row r="69" spans="1:44" x14ac:dyDescent="0.25">
      <c r="A69" s="109" t="s">
        <v>10</v>
      </c>
      <c r="B69" s="1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3"/>
      <c r="AD69" s="13"/>
      <c r="AE69" s="13"/>
      <c r="AF69" s="13"/>
      <c r="AG69" s="13"/>
      <c r="AH69" s="13"/>
      <c r="AI69" s="16">
        <v>17075.21</v>
      </c>
      <c r="AJ69" s="16"/>
      <c r="AK69" s="16"/>
      <c r="AL69" s="16"/>
      <c r="AM69" s="16">
        <v>15610.7</v>
      </c>
      <c r="AN69" s="16"/>
      <c r="AO69" s="16"/>
      <c r="AP69" s="16"/>
      <c r="AQ69" s="24"/>
      <c r="AR69" s="24"/>
    </row>
    <row r="70" spans="1:44" ht="14.25" customHeight="1" x14ac:dyDescent="0.25">
      <c r="A70" s="109" t="s">
        <v>16</v>
      </c>
      <c r="B70" s="1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6"/>
      <c r="AN70" s="16"/>
      <c r="AO70" s="16"/>
      <c r="AP70" s="16"/>
      <c r="AQ70" s="24"/>
      <c r="AR70" s="24"/>
    </row>
    <row r="71" spans="1:44" ht="60" hidden="1" x14ac:dyDescent="0.25">
      <c r="A71" s="7" t="s">
        <v>25</v>
      </c>
      <c r="B71" s="7"/>
      <c r="C71" s="9">
        <v>3090165.46</v>
      </c>
      <c r="D71" s="9">
        <v>3090165.46</v>
      </c>
      <c r="E71" s="9">
        <f>SUM(E72:E74)</f>
        <v>0</v>
      </c>
      <c r="F71" s="9">
        <f>SUM(F72:F74)</f>
        <v>0</v>
      </c>
      <c r="G71" s="9">
        <f t="shared" ref="G71:Z71" si="15">SUM(G72:G74)</f>
        <v>0</v>
      </c>
      <c r="H71" s="9">
        <f t="shared" si="15"/>
        <v>0</v>
      </c>
      <c r="I71" s="9">
        <f t="shared" si="15"/>
        <v>0</v>
      </c>
      <c r="J71" s="9">
        <f t="shared" si="15"/>
        <v>0</v>
      </c>
      <c r="K71" s="9">
        <f t="shared" si="15"/>
        <v>0</v>
      </c>
      <c r="L71" s="9">
        <f t="shared" si="15"/>
        <v>0</v>
      </c>
      <c r="M71" s="9">
        <f t="shared" si="15"/>
        <v>0</v>
      </c>
      <c r="N71" s="9">
        <f t="shared" si="15"/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t="shared" si="15"/>
        <v>0</v>
      </c>
      <c r="V71" s="9">
        <f t="shared" si="15"/>
        <v>0</v>
      </c>
      <c r="W71" s="9">
        <f t="shared" si="15"/>
        <v>0</v>
      </c>
      <c r="X71" s="9">
        <f t="shared" si="15"/>
        <v>0</v>
      </c>
      <c r="Y71" s="9">
        <f t="shared" si="15"/>
        <v>0</v>
      </c>
      <c r="Z71" s="9">
        <f t="shared" si="15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129">
        <v>0</v>
      </c>
      <c r="AR71" s="129">
        <v>0</v>
      </c>
    </row>
    <row r="72" spans="1:44" hidden="1" x14ac:dyDescent="0.25">
      <c r="A72" s="109" t="s">
        <v>10</v>
      </c>
      <c r="B72" s="132"/>
      <c r="C72" s="2"/>
      <c r="D72" s="2"/>
      <c r="E72" s="2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130"/>
      <c r="AR72" s="130"/>
    </row>
    <row r="73" spans="1:44" hidden="1" x14ac:dyDescent="0.25">
      <c r="A73" s="133" t="s">
        <v>24</v>
      </c>
      <c r="B73" s="132"/>
      <c r="C73" s="9">
        <f>4008760.53+5844431.63+14283.75+179317.37</f>
        <v>10046793.279999999</v>
      </c>
      <c r="D73" s="9">
        <f>989699.04+1910943.77</f>
        <v>2900642.81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32"/>
      <c r="AR73" s="32"/>
    </row>
    <row r="74" spans="1:44" hidden="1" x14ac:dyDescent="0.25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1"/>
      <c r="AR74" s="31"/>
    </row>
    <row r="75" spans="1:44" x14ac:dyDescent="0.25">
      <c r="A75" s="133" t="s">
        <v>12</v>
      </c>
      <c r="B75" s="132"/>
      <c r="C75" s="10">
        <f>C8+C15+C22+C29+C36+C43+C50+C57+C64+C71+C73</f>
        <v>94587677.819999993</v>
      </c>
      <c r="D75" s="10">
        <f>D8+D15+D22+D29+D36+D43+D50+D57+D64+D71+D73</f>
        <v>68008770.719999999</v>
      </c>
      <c r="E75" s="10">
        <f>E8+E15+E22+E29+E36+E43+E50+E57+E64+E71</f>
        <v>85864729.75999999</v>
      </c>
      <c r="F75" s="10">
        <f>F8+F15+F22+F29+F36+F43+F50+F57+F64+F71</f>
        <v>66510808.209999993</v>
      </c>
      <c r="G75" s="10">
        <f t="shared" ref="G75:Y75" si="16">G8+G15+G22+G29+G36+G43+G50+G57+G64+G71</f>
        <v>93511066.090000018</v>
      </c>
      <c r="H75" s="10">
        <f t="shared" si="16"/>
        <v>66963948.660000004</v>
      </c>
      <c r="I75" s="10">
        <f t="shared" si="16"/>
        <v>92440148.88000001</v>
      </c>
      <c r="J75" s="10">
        <f t="shared" si="16"/>
        <v>69371696.100000009</v>
      </c>
      <c r="K75" s="10">
        <f t="shared" si="16"/>
        <v>93692017.959999993</v>
      </c>
      <c r="L75" s="10">
        <f t="shared" si="16"/>
        <v>72494645.030000001</v>
      </c>
      <c r="M75" s="10">
        <f t="shared" si="16"/>
        <v>95350288.340000004</v>
      </c>
      <c r="N75" s="10">
        <f t="shared" si="16"/>
        <v>74699098.340000004</v>
      </c>
      <c r="O75" s="10">
        <f t="shared" si="16"/>
        <v>92952938.269999996</v>
      </c>
      <c r="P75" s="10">
        <f t="shared" si="16"/>
        <v>82357876.220000014</v>
      </c>
      <c r="Q75" s="10">
        <f t="shared" si="16"/>
        <v>97449531.209999979</v>
      </c>
      <c r="R75" s="10">
        <f t="shared" si="16"/>
        <v>74441297.569999993</v>
      </c>
      <c r="S75" s="10">
        <f t="shared" si="16"/>
        <v>96755275.489999995</v>
      </c>
      <c r="T75" s="10">
        <f t="shared" si="16"/>
        <v>74719949.890000001</v>
      </c>
      <c r="U75" s="10">
        <f t="shared" si="16"/>
        <v>97352731.719999984</v>
      </c>
      <c r="V75" s="10">
        <f t="shared" si="16"/>
        <v>74918061.669999987</v>
      </c>
      <c r="W75" s="10">
        <f t="shared" si="16"/>
        <v>103431682.53</v>
      </c>
      <c r="X75" s="10">
        <f t="shared" si="16"/>
        <v>71550048.36999999</v>
      </c>
      <c r="Y75" s="10">
        <f t="shared" si="16"/>
        <v>139512827.16999999</v>
      </c>
      <c r="Z75" s="10">
        <f>Z8+Z15+Z22+Z29+Z36+Z43+Z50+Z57+Z64+Z71</f>
        <v>116277638.82999998</v>
      </c>
      <c r="AA75" s="20">
        <f>AA8+AA15+AA22+AA29+AA36+AA43+AA50+AA57+AA64+AA71</f>
        <v>136792938.08000001</v>
      </c>
      <c r="AB75" s="20">
        <f>AB8+AB15+AB22+AB29+AB36+AB43+AB50+AB57+AB64+AB71</f>
        <v>43344897.469999999</v>
      </c>
      <c r="AC75" s="20">
        <f>AC8+AC15+AC22+AC29+AC36+AC43+AC50+AC57+AC64+AC71</f>
        <v>211086618.58000001</v>
      </c>
      <c r="AD75" s="20">
        <f>AD8+AD15+AD22+AD29+AD36+AD43+AD50+AD57+AD64+AD71</f>
        <v>119975047.31999999</v>
      </c>
      <c r="AE75" s="10">
        <f t="shared" ref="AE75:AL75" si="17">AE8+AE15+AE22+AE29+AE36+AE43+AE57+AE64</f>
        <v>210062888.64999998</v>
      </c>
      <c r="AF75" s="10">
        <f t="shared" si="17"/>
        <v>99495187.609999999</v>
      </c>
      <c r="AG75" s="10">
        <f t="shared" si="17"/>
        <v>86313931.799999982</v>
      </c>
      <c r="AH75" s="10">
        <f t="shared" si="17"/>
        <v>23141374.309999999</v>
      </c>
      <c r="AI75" s="20">
        <f t="shared" si="17"/>
        <v>128946217.90000001</v>
      </c>
      <c r="AJ75" s="20">
        <f t="shared" si="17"/>
        <v>32163242.649999999</v>
      </c>
      <c r="AK75" s="20">
        <f t="shared" si="17"/>
        <v>14429840.109999999</v>
      </c>
      <c r="AL75" s="20">
        <f t="shared" si="17"/>
        <v>0</v>
      </c>
      <c r="AM75" s="41">
        <f>AM8+AM15+AM22+AM29+AM36+AM43+AM57+AM64</f>
        <v>118381996.54000001</v>
      </c>
      <c r="AN75" s="41">
        <f>AN8+AN15+AN22+AN29+AN36+AN43+AN57+AN64</f>
        <v>23391528.850000001</v>
      </c>
      <c r="AO75" s="41">
        <f>AO8+AO15+AO22+AO29+AO36+AO43+AO57+AO64</f>
        <v>8706150.5500000007</v>
      </c>
      <c r="AP75" s="41">
        <f>AP8+AP15+AP22+AP29+AP36+AP43+AP57+AP64</f>
        <v>0</v>
      </c>
      <c r="AQ75" s="35">
        <f>AM75/AI75-1</f>
        <v>-8.1927345617788805E-2</v>
      </c>
      <c r="AR75" s="35">
        <f>AO75/AK75-1</f>
        <v>-0.39665647826779693</v>
      </c>
    </row>
    <row r="76" spans="1:44" x14ac:dyDescent="0.25">
      <c r="A76" s="109" t="s">
        <v>11</v>
      </c>
      <c r="B76" s="132"/>
      <c r="C76" s="2">
        <f t="shared" ref="C76:AD80" si="18">C10+C17+C24+C31+C38+C45+C52+C59+C66</f>
        <v>0</v>
      </c>
      <c r="D76" s="2">
        <f t="shared" si="18"/>
        <v>0</v>
      </c>
      <c r="E76" s="2">
        <f t="shared" si="18"/>
        <v>17953226.410000004</v>
      </c>
      <c r="F76" s="2">
        <f t="shared" si="18"/>
        <v>6382951.8399999943</v>
      </c>
      <c r="G76" s="2">
        <f t="shared" si="18"/>
        <v>19216097.170000002</v>
      </c>
      <c r="H76" s="2">
        <f t="shared" si="18"/>
        <v>6555841.7200000007</v>
      </c>
      <c r="I76" s="2">
        <f t="shared" si="18"/>
        <v>22865503.460000001</v>
      </c>
      <c r="J76" s="2">
        <f t="shared" si="18"/>
        <v>5864947.9199999999</v>
      </c>
      <c r="K76" s="2">
        <f t="shared" si="18"/>
        <v>17090632.079999998</v>
      </c>
      <c r="L76" s="2">
        <f t="shared" si="18"/>
        <v>5837825.0099999998</v>
      </c>
      <c r="M76" s="2">
        <f t="shared" si="18"/>
        <v>16099291.18</v>
      </c>
      <c r="N76" s="2">
        <f t="shared" si="18"/>
        <v>7784857.7199999997</v>
      </c>
      <c r="O76" s="2">
        <f t="shared" si="18"/>
        <v>16094244.300000001</v>
      </c>
      <c r="P76" s="2">
        <f t="shared" si="18"/>
        <v>7902977.2199999997</v>
      </c>
      <c r="Q76" s="2">
        <f t="shared" si="18"/>
        <v>20791692.359999999</v>
      </c>
      <c r="R76" s="2">
        <f t="shared" si="18"/>
        <v>7175180.9199999999</v>
      </c>
      <c r="S76" s="2">
        <f t="shared" si="18"/>
        <v>20070445.379999999</v>
      </c>
      <c r="T76" s="2">
        <f t="shared" si="18"/>
        <v>6987489.4900000002</v>
      </c>
      <c r="U76" s="2">
        <f t="shared" si="18"/>
        <v>24410984.270000003</v>
      </c>
      <c r="V76" s="2">
        <f t="shared" si="18"/>
        <v>4182653.4699999997</v>
      </c>
      <c r="W76" s="2">
        <f t="shared" si="18"/>
        <v>34358661.780000001</v>
      </c>
      <c r="X76" s="2">
        <f t="shared" si="18"/>
        <v>4756662.17</v>
      </c>
      <c r="Y76" s="2">
        <f t="shared" si="18"/>
        <v>37550191.880000003</v>
      </c>
      <c r="Z76" s="2">
        <f t="shared" si="18"/>
        <v>19969076.690000001</v>
      </c>
      <c r="AA76" s="16">
        <f t="shared" si="18"/>
        <v>78679277.219999999</v>
      </c>
      <c r="AB76" s="16">
        <f t="shared" si="18"/>
        <v>28544503.479999997</v>
      </c>
      <c r="AC76" s="16">
        <f t="shared" si="18"/>
        <v>97897786.019999981</v>
      </c>
      <c r="AD76" s="16">
        <f t="shared" si="18"/>
        <v>50095879.390000001</v>
      </c>
      <c r="AE76" s="23">
        <f t="shared" ref="AE76:AP80" si="19">AE10+AE17+AE24+AE31+AE38+AE45+AE59+AE66</f>
        <v>108565286.30999999</v>
      </c>
      <c r="AF76" s="23">
        <f>AF10+AF17+AF24+AF31+AF38+AF45+AF59+AF66</f>
        <v>66674832.540000007</v>
      </c>
      <c r="AG76" s="23">
        <f t="shared" si="19"/>
        <v>32847516.43</v>
      </c>
      <c r="AH76" s="23">
        <f t="shared" si="19"/>
        <v>21260780.43</v>
      </c>
      <c r="AI76" s="16">
        <f t="shared" si="19"/>
        <v>59026929.369999997</v>
      </c>
      <c r="AJ76" s="16">
        <f>AJ10+AJ17+AJ24+AJ31+AJ38+AJ45+AJ59+AJ66</f>
        <v>219982.55</v>
      </c>
      <c r="AK76" s="16">
        <f t="shared" si="19"/>
        <v>3777110.1399999997</v>
      </c>
      <c r="AL76" s="16">
        <f t="shared" si="19"/>
        <v>0</v>
      </c>
      <c r="AM76" s="16">
        <f>AM10+AM17+AM24+AM31+AM38+AM45+AM59+AM66</f>
        <v>61961884.169999994</v>
      </c>
      <c r="AN76" s="16">
        <f>AN10+AN17+AN24+AN31+AN38+AN45+AN59+AN66</f>
        <v>640503.74</v>
      </c>
      <c r="AO76" s="16">
        <f>AO10+AO17+AO24+AO31+AO38+AO45+AO59+AO66</f>
        <v>2920343.81</v>
      </c>
      <c r="AP76" s="16">
        <f>AP10+AP17+AP24+AP31+AP38+AP45+AP59+AP66</f>
        <v>0</v>
      </c>
      <c r="AQ76" s="36"/>
      <c r="AR76" s="36"/>
    </row>
    <row r="77" spans="1:44" x14ac:dyDescent="0.25">
      <c r="A77" s="109" t="s">
        <v>8</v>
      </c>
      <c r="B77" s="132"/>
      <c r="C77" s="2">
        <f t="shared" si="18"/>
        <v>0</v>
      </c>
      <c r="D77" s="2">
        <f t="shared" si="18"/>
        <v>0</v>
      </c>
      <c r="E77" s="2">
        <f t="shared" si="18"/>
        <v>0</v>
      </c>
      <c r="F77" s="2">
        <f t="shared" si="18"/>
        <v>0</v>
      </c>
      <c r="G77" s="2">
        <f t="shared" si="18"/>
        <v>1611249.67</v>
      </c>
      <c r="H77" s="2">
        <f t="shared" si="18"/>
        <v>0</v>
      </c>
      <c r="I77" s="2">
        <f t="shared" si="18"/>
        <v>1404831.87</v>
      </c>
      <c r="J77" s="2">
        <f t="shared" si="18"/>
        <v>0</v>
      </c>
      <c r="K77" s="2">
        <f t="shared" si="18"/>
        <v>2089553.3599999999</v>
      </c>
      <c r="L77" s="2">
        <f t="shared" si="18"/>
        <v>0</v>
      </c>
      <c r="M77" s="2">
        <f t="shared" si="18"/>
        <v>1291836.76</v>
      </c>
      <c r="N77" s="2">
        <f t="shared" si="18"/>
        <v>0</v>
      </c>
      <c r="O77" s="2">
        <f t="shared" si="18"/>
        <v>1343049.24</v>
      </c>
      <c r="P77" s="2">
        <f t="shared" si="18"/>
        <v>0</v>
      </c>
      <c r="Q77" s="2">
        <f t="shared" si="18"/>
        <v>1452525.99</v>
      </c>
      <c r="R77" s="2">
        <f t="shared" si="18"/>
        <v>0</v>
      </c>
      <c r="S77" s="2">
        <f t="shared" si="18"/>
        <v>1242140.78</v>
      </c>
      <c r="T77" s="2">
        <f t="shared" si="18"/>
        <v>0</v>
      </c>
      <c r="U77" s="2">
        <f t="shared" si="18"/>
        <v>1196585.6499999999</v>
      </c>
      <c r="V77" s="2">
        <f t="shared" si="18"/>
        <v>0</v>
      </c>
      <c r="W77" s="2">
        <f t="shared" si="18"/>
        <v>1283435.7</v>
      </c>
      <c r="X77" s="2">
        <f t="shared" si="18"/>
        <v>0</v>
      </c>
      <c r="Y77" s="2">
        <f t="shared" si="18"/>
        <v>0</v>
      </c>
      <c r="Z77" s="2">
        <f t="shared" si="18"/>
        <v>0</v>
      </c>
      <c r="AA77" s="16">
        <f t="shared" si="18"/>
        <v>28007459.789999999</v>
      </c>
      <c r="AB77" s="16">
        <f t="shared" si="18"/>
        <v>0</v>
      </c>
      <c r="AC77" s="16">
        <f t="shared" si="18"/>
        <v>33425614.419999998</v>
      </c>
      <c r="AD77" s="16">
        <f t="shared" si="18"/>
        <v>0</v>
      </c>
      <c r="AE77" s="23">
        <f t="shared" si="19"/>
        <v>33462185.5</v>
      </c>
      <c r="AF77" s="23">
        <f t="shared" si="19"/>
        <v>18386199.240000002</v>
      </c>
      <c r="AG77" s="23">
        <f t="shared" si="19"/>
        <v>0</v>
      </c>
      <c r="AH77" s="23">
        <f t="shared" si="19"/>
        <v>0</v>
      </c>
      <c r="AI77" s="16">
        <f t="shared" si="19"/>
        <v>36363970.560000002</v>
      </c>
      <c r="AJ77" s="16">
        <f t="shared" si="19"/>
        <v>19065790.949999999</v>
      </c>
      <c r="AK77" s="16">
        <f t="shared" si="19"/>
        <v>0</v>
      </c>
      <c r="AL77" s="16">
        <f t="shared" si="19"/>
        <v>0</v>
      </c>
      <c r="AM77" s="16">
        <f t="shared" si="19"/>
        <v>39762305.920000002</v>
      </c>
      <c r="AN77" s="16">
        <f t="shared" si="19"/>
        <v>20217580.420000002</v>
      </c>
      <c r="AO77" s="16">
        <f t="shared" si="19"/>
        <v>0</v>
      </c>
      <c r="AP77" s="16">
        <f t="shared" si="19"/>
        <v>0</v>
      </c>
      <c r="AQ77" s="37"/>
      <c r="AR77" s="37"/>
    </row>
    <row r="78" spans="1:44" x14ac:dyDescent="0.25">
      <c r="A78" s="109" t="s">
        <v>9</v>
      </c>
      <c r="B78" s="132"/>
      <c r="C78" s="2">
        <f t="shared" si="18"/>
        <v>0</v>
      </c>
      <c r="D78" s="2">
        <f t="shared" si="18"/>
        <v>0</v>
      </c>
      <c r="E78" s="2">
        <f t="shared" si="18"/>
        <v>5781112.8999999994</v>
      </c>
      <c r="F78" s="2">
        <f t="shared" si="18"/>
        <v>0</v>
      </c>
      <c r="G78" s="2">
        <f t="shared" si="18"/>
        <v>841993.46</v>
      </c>
      <c r="H78" s="2">
        <f t="shared" si="18"/>
        <v>0</v>
      </c>
      <c r="I78" s="2">
        <f t="shared" si="18"/>
        <v>730672.66</v>
      </c>
      <c r="J78" s="2">
        <f t="shared" si="18"/>
        <v>0</v>
      </c>
      <c r="K78" s="2">
        <f t="shared" si="18"/>
        <v>907890.05999999994</v>
      </c>
      <c r="L78" s="2">
        <f t="shared" si="18"/>
        <v>0</v>
      </c>
      <c r="M78" s="2">
        <f t="shared" si="18"/>
        <v>596611.02</v>
      </c>
      <c r="N78" s="2">
        <f t="shared" si="18"/>
        <v>0</v>
      </c>
      <c r="O78" s="2">
        <f t="shared" si="18"/>
        <v>806056.14</v>
      </c>
      <c r="P78" s="2">
        <f t="shared" si="18"/>
        <v>0</v>
      </c>
      <c r="Q78" s="2">
        <f t="shared" si="18"/>
        <v>910579.46000000008</v>
      </c>
      <c r="R78" s="2">
        <f t="shared" si="18"/>
        <v>0</v>
      </c>
      <c r="S78" s="2">
        <f t="shared" si="18"/>
        <v>832315.84</v>
      </c>
      <c r="T78" s="2">
        <f t="shared" si="18"/>
        <v>0</v>
      </c>
      <c r="U78" s="2">
        <f t="shared" si="18"/>
        <v>786043.03</v>
      </c>
      <c r="V78" s="2">
        <f t="shared" si="18"/>
        <v>0</v>
      </c>
      <c r="W78" s="2">
        <f t="shared" si="18"/>
        <v>782576.37000000011</v>
      </c>
      <c r="X78" s="2">
        <f t="shared" si="18"/>
        <v>0</v>
      </c>
      <c r="Y78" s="2">
        <f t="shared" si="18"/>
        <v>4770499.5100000007</v>
      </c>
      <c r="Z78" s="2">
        <f t="shared" si="18"/>
        <v>0</v>
      </c>
      <c r="AA78" s="16">
        <f t="shared" si="18"/>
        <v>11517101.640000001</v>
      </c>
      <c r="AB78" s="16">
        <f t="shared" si="18"/>
        <v>0</v>
      </c>
      <c r="AC78" s="16">
        <f t="shared" si="18"/>
        <v>17564868.849999998</v>
      </c>
      <c r="AD78" s="16">
        <f t="shared" si="18"/>
        <v>11291466.59</v>
      </c>
      <c r="AE78" s="23">
        <f t="shared" si="19"/>
        <v>25972037.23</v>
      </c>
      <c r="AF78" s="23">
        <f t="shared" si="19"/>
        <v>12978010.970000001</v>
      </c>
      <c r="AG78" s="23">
        <f t="shared" si="19"/>
        <v>14772077.07</v>
      </c>
      <c r="AH78" s="23">
        <f t="shared" si="19"/>
        <v>1220473.1199999999</v>
      </c>
      <c r="AI78" s="16">
        <f t="shared" si="19"/>
        <v>19092310.379999999</v>
      </c>
      <c r="AJ78" s="16">
        <f t="shared" si="19"/>
        <v>9924703.2199999988</v>
      </c>
      <c r="AK78" s="16">
        <f t="shared" si="19"/>
        <v>0</v>
      </c>
      <c r="AL78" s="16">
        <f t="shared" si="19"/>
        <v>0</v>
      </c>
      <c r="AM78" s="16">
        <f t="shared" si="19"/>
        <v>7346807.2400000002</v>
      </c>
      <c r="AN78" s="16">
        <f t="shared" si="19"/>
        <v>1284137.48</v>
      </c>
      <c r="AO78" s="16">
        <f t="shared" si="19"/>
        <v>0</v>
      </c>
      <c r="AP78" s="16">
        <f t="shared" si="19"/>
        <v>0</v>
      </c>
      <c r="AQ78" s="37"/>
      <c r="AR78" s="37"/>
    </row>
    <row r="79" spans="1:44" x14ac:dyDescent="0.25">
      <c r="A79" s="109" t="s">
        <v>10</v>
      </c>
      <c r="B79" s="132"/>
      <c r="C79" s="2">
        <f t="shared" ref="C79:Z79" si="20">C13+C20+C27+C34+C41+C48+C55+C62+C69+C72</f>
        <v>0</v>
      </c>
      <c r="D79" s="2">
        <f t="shared" si="20"/>
        <v>0</v>
      </c>
      <c r="E79" s="2">
        <f t="shared" si="20"/>
        <v>60461371.310000002</v>
      </c>
      <c r="F79" s="2">
        <f t="shared" si="20"/>
        <v>58245420.57</v>
      </c>
      <c r="G79" s="2">
        <f t="shared" si="20"/>
        <v>69929562.310000002</v>
      </c>
      <c r="H79" s="2">
        <f t="shared" si="20"/>
        <v>58525671.140000001</v>
      </c>
      <c r="I79" s="2">
        <f t="shared" si="20"/>
        <v>65526882.990000002</v>
      </c>
      <c r="J79" s="2">
        <f t="shared" si="20"/>
        <v>61624312.380000003</v>
      </c>
      <c r="K79" s="2">
        <f t="shared" si="20"/>
        <v>71721506.659999996</v>
      </c>
      <c r="L79" s="2">
        <f t="shared" si="20"/>
        <v>64774384.220000006</v>
      </c>
      <c r="M79" s="2">
        <f t="shared" si="20"/>
        <v>75480113.579999998</v>
      </c>
      <c r="N79" s="2">
        <f t="shared" si="20"/>
        <v>65031804.82</v>
      </c>
      <c r="O79" s="2">
        <f t="shared" si="20"/>
        <v>72791361.200000003</v>
      </c>
      <c r="P79" s="2">
        <f t="shared" si="20"/>
        <v>72572463.200000003</v>
      </c>
      <c r="Q79" s="2">
        <f t="shared" si="20"/>
        <v>72380297.609999999</v>
      </c>
      <c r="R79" s="2">
        <f t="shared" si="20"/>
        <v>65383680.850000001</v>
      </c>
      <c r="S79" s="2">
        <f t="shared" si="20"/>
        <v>72695876.399999991</v>
      </c>
      <c r="T79" s="2">
        <f t="shared" si="20"/>
        <v>65850024.600000001</v>
      </c>
      <c r="U79" s="2">
        <f t="shared" si="20"/>
        <v>69041659.049999997</v>
      </c>
      <c r="V79" s="2">
        <f t="shared" si="20"/>
        <v>68852972.399999991</v>
      </c>
      <c r="W79" s="2">
        <f t="shared" si="20"/>
        <v>65102023.400000006</v>
      </c>
      <c r="X79" s="2">
        <f t="shared" si="20"/>
        <v>64910950.400000006</v>
      </c>
      <c r="Y79" s="2">
        <f t="shared" si="20"/>
        <v>66208215.299999997</v>
      </c>
      <c r="Z79" s="2">
        <f t="shared" si="20"/>
        <v>65394874.099999994</v>
      </c>
      <c r="AA79" s="16">
        <f t="shared" si="18"/>
        <v>14182522.93</v>
      </c>
      <c r="AB79" s="16">
        <f t="shared" si="18"/>
        <v>12430432.640000001</v>
      </c>
      <c r="AC79" s="16">
        <f t="shared" si="18"/>
        <v>21845555.419999998</v>
      </c>
      <c r="AD79" s="16">
        <f t="shared" si="18"/>
        <v>20453326.48</v>
      </c>
      <c r="AE79" s="23">
        <f t="shared" si="19"/>
        <v>8512543.2200000007</v>
      </c>
      <c r="AF79" s="23">
        <f t="shared" si="19"/>
        <v>93556.36</v>
      </c>
      <c r="AG79" s="23">
        <f t="shared" si="19"/>
        <v>7493731.0800000001</v>
      </c>
      <c r="AH79" s="23">
        <f t="shared" si="19"/>
        <v>0</v>
      </c>
      <c r="AI79" s="16">
        <f t="shared" si="19"/>
        <v>6592704.9900000012</v>
      </c>
      <c r="AJ79" s="16">
        <f t="shared" si="19"/>
        <v>92285.57</v>
      </c>
      <c r="AK79" s="16">
        <f t="shared" si="19"/>
        <v>5647572.7300000004</v>
      </c>
      <c r="AL79" s="16">
        <f t="shared" si="19"/>
        <v>0</v>
      </c>
      <c r="AM79" s="16">
        <f t="shared" si="19"/>
        <v>8148490.1500000004</v>
      </c>
      <c r="AN79" s="16">
        <f t="shared" si="19"/>
        <v>120938.72</v>
      </c>
      <c r="AO79" s="16">
        <f t="shared" si="19"/>
        <v>5785806.7400000002</v>
      </c>
      <c r="AP79" s="16">
        <f t="shared" si="19"/>
        <v>0</v>
      </c>
      <c r="AQ79" s="37"/>
      <c r="AR79" s="37"/>
    </row>
    <row r="80" spans="1:44" x14ac:dyDescent="0.25">
      <c r="A80" s="109" t="s">
        <v>16</v>
      </c>
      <c r="B80" s="132"/>
      <c r="C80" s="2">
        <f>C14+C21+C28+C35+C42+C49+C56+C63+C70</f>
        <v>0</v>
      </c>
      <c r="D80" s="2">
        <f>D14+D21+D28+D35+D42+D49+D56+D63+D70</f>
        <v>0</v>
      </c>
      <c r="E80" s="2">
        <f t="shared" si="18"/>
        <v>1669019.14</v>
      </c>
      <c r="F80" s="2">
        <f t="shared" si="18"/>
        <v>1882435.7999999998</v>
      </c>
      <c r="G80" s="2">
        <f t="shared" si="18"/>
        <v>1912163.48</v>
      </c>
      <c r="H80" s="2">
        <f t="shared" si="18"/>
        <v>1882435.8</v>
      </c>
      <c r="I80" s="2">
        <f t="shared" si="18"/>
        <v>1912257.9000000001</v>
      </c>
      <c r="J80" s="2">
        <f t="shared" si="18"/>
        <v>1882435.8</v>
      </c>
      <c r="K80" s="2">
        <f t="shared" si="18"/>
        <v>1882435.8</v>
      </c>
      <c r="L80" s="2">
        <f t="shared" si="18"/>
        <v>1882435.8</v>
      </c>
      <c r="M80" s="2">
        <f t="shared" si="18"/>
        <v>1882435.8</v>
      </c>
      <c r="N80" s="2">
        <f t="shared" si="18"/>
        <v>1882435.8</v>
      </c>
      <c r="O80" s="2">
        <f t="shared" si="18"/>
        <v>1918227.3900000001</v>
      </c>
      <c r="P80" s="2">
        <f t="shared" si="18"/>
        <v>1882435.8</v>
      </c>
      <c r="Q80" s="2">
        <f t="shared" si="18"/>
        <v>1914435.79</v>
      </c>
      <c r="R80" s="2">
        <f t="shared" si="18"/>
        <v>1882435.8</v>
      </c>
      <c r="S80" s="2">
        <f t="shared" si="18"/>
        <v>1914497.09</v>
      </c>
      <c r="T80" s="2">
        <f t="shared" si="18"/>
        <v>1882435.8</v>
      </c>
      <c r="U80" s="2">
        <f t="shared" si="18"/>
        <v>1917459.72</v>
      </c>
      <c r="V80" s="2">
        <f t="shared" si="18"/>
        <v>1882435.8</v>
      </c>
      <c r="W80" s="2">
        <f t="shared" si="18"/>
        <v>1904985.28</v>
      </c>
      <c r="X80" s="2">
        <f t="shared" si="18"/>
        <v>1882435.8</v>
      </c>
      <c r="Y80" s="2">
        <f t="shared" si="18"/>
        <v>30983920.480000004</v>
      </c>
      <c r="Z80" s="2">
        <f t="shared" si="18"/>
        <v>30913688.039999999</v>
      </c>
      <c r="AA80" s="16">
        <f t="shared" si="18"/>
        <v>4406576.5</v>
      </c>
      <c r="AB80" s="16">
        <f t="shared" si="18"/>
        <v>2369961.35</v>
      </c>
      <c r="AC80" s="16">
        <f t="shared" si="18"/>
        <v>40352793.869999997</v>
      </c>
      <c r="AD80" s="16">
        <f t="shared" si="18"/>
        <v>38134374.859999999</v>
      </c>
      <c r="AE80" s="23">
        <f t="shared" si="19"/>
        <v>33550836.390000001</v>
      </c>
      <c r="AF80" s="23">
        <f t="shared" si="19"/>
        <v>1362588.5</v>
      </c>
      <c r="AG80" s="23">
        <f t="shared" si="19"/>
        <v>31200607.219999999</v>
      </c>
      <c r="AH80" s="23">
        <f t="shared" si="19"/>
        <v>660120.76</v>
      </c>
      <c r="AI80" s="16">
        <f t="shared" si="19"/>
        <v>7870302.5999999996</v>
      </c>
      <c r="AJ80" s="16">
        <f t="shared" si="19"/>
        <v>2860480.3600000003</v>
      </c>
      <c r="AK80" s="16">
        <f t="shared" si="19"/>
        <v>5005157.24</v>
      </c>
      <c r="AL80" s="16">
        <f t="shared" si="19"/>
        <v>0</v>
      </c>
      <c r="AM80" s="16">
        <f t="shared" si="19"/>
        <v>1162509.06</v>
      </c>
      <c r="AN80" s="16">
        <f t="shared" si="19"/>
        <v>1128368.4900000002</v>
      </c>
      <c r="AO80" s="16">
        <f t="shared" si="19"/>
        <v>0</v>
      </c>
      <c r="AP80" s="16">
        <f t="shared" si="19"/>
        <v>0</v>
      </c>
      <c r="AQ80" s="37"/>
      <c r="AR80" s="37"/>
    </row>
    <row r="81" spans="1:44" x14ac:dyDescent="0.25">
      <c r="A81" s="133" t="s">
        <v>20</v>
      </c>
      <c r="B81" s="132"/>
      <c r="C81" s="3">
        <v>19700824</v>
      </c>
      <c r="D81" s="3"/>
      <c r="E81" s="3">
        <v>30646350</v>
      </c>
      <c r="F81" s="3"/>
      <c r="G81" s="3">
        <v>30646350</v>
      </c>
      <c r="H81" s="3"/>
      <c r="I81" s="3">
        <v>30646350</v>
      </c>
      <c r="J81" s="3"/>
      <c r="K81" s="3">
        <v>30646350</v>
      </c>
      <c r="L81" s="3"/>
      <c r="M81" s="3">
        <v>30646350</v>
      </c>
      <c r="N81" s="3"/>
      <c r="O81" s="3">
        <v>30646350</v>
      </c>
      <c r="P81" s="3"/>
      <c r="Q81" s="3">
        <v>30646350</v>
      </c>
      <c r="R81" s="3"/>
      <c r="S81" s="3">
        <v>39646350</v>
      </c>
      <c r="T81" s="3"/>
      <c r="U81" s="3">
        <v>39646350</v>
      </c>
      <c r="V81" s="3"/>
      <c r="W81" s="3">
        <v>39646350</v>
      </c>
      <c r="X81" s="3"/>
      <c r="Y81" s="3">
        <v>39592849</v>
      </c>
      <c r="Z81" s="3"/>
      <c r="AA81" s="22">
        <v>43884741</v>
      </c>
      <c r="AB81" s="18"/>
      <c r="AC81" s="22">
        <v>38729175</v>
      </c>
      <c r="AD81" s="18"/>
      <c r="AE81" s="3">
        <v>15529000</v>
      </c>
      <c r="AF81" s="18"/>
      <c r="AG81" s="18"/>
      <c r="AH81" s="18"/>
      <c r="AI81" s="22">
        <v>1250000</v>
      </c>
      <c r="AJ81" s="22"/>
      <c r="AK81" s="22"/>
      <c r="AL81" s="22"/>
      <c r="AM81" s="22">
        <v>625000</v>
      </c>
      <c r="AN81" s="22"/>
      <c r="AO81" s="22"/>
      <c r="AP81" s="22"/>
      <c r="AQ81" s="37"/>
      <c r="AR81" s="37"/>
    </row>
    <row r="82" spans="1:44" x14ac:dyDescent="0.25">
      <c r="A82" s="133" t="s">
        <v>21</v>
      </c>
      <c r="B82" s="132"/>
      <c r="C82" s="3">
        <f t="shared" ref="C82:AA82" si="21">C75+C81</f>
        <v>114288501.81999999</v>
      </c>
      <c r="D82" s="3">
        <f t="shared" si="21"/>
        <v>68008770.719999999</v>
      </c>
      <c r="E82" s="3">
        <f t="shared" si="21"/>
        <v>116511079.75999999</v>
      </c>
      <c r="F82" s="3">
        <f t="shared" si="21"/>
        <v>66510808.209999993</v>
      </c>
      <c r="G82" s="3">
        <f t="shared" si="21"/>
        <v>124157416.09000002</v>
      </c>
      <c r="H82" s="3">
        <f t="shared" si="21"/>
        <v>66963948.660000004</v>
      </c>
      <c r="I82" s="3">
        <f t="shared" si="21"/>
        <v>123086498.88000001</v>
      </c>
      <c r="J82" s="3">
        <f t="shared" si="21"/>
        <v>69371696.100000009</v>
      </c>
      <c r="K82" s="3">
        <f t="shared" si="21"/>
        <v>124338367.95999999</v>
      </c>
      <c r="L82" s="3">
        <f t="shared" si="21"/>
        <v>72494645.030000001</v>
      </c>
      <c r="M82" s="3">
        <f t="shared" si="21"/>
        <v>125996638.34</v>
      </c>
      <c r="N82" s="3">
        <f t="shared" si="21"/>
        <v>74699098.340000004</v>
      </c>
      <c r="O82" s="3">
        <f t="shared" si="21"/>
        <v>123599288.27</v>
      </c>
      <c r="P82" s="3">
        <f t="shared" si="21"/>
        <v>82357876.220000014</v>
      </c>
      <c r="Q82" s="3">
        <f t="shared" si="21"/>
        <v>128095881.20999998</v>
      </c>
      <c r="R82" s="3">
        <f t="shared" si="21"/>
        <v>74441297.569999993</v>
      </c>
      <c r="S82" s="3">
        <f t="shared" si="21"/>
        <v>136401625.49000001</v>
      </c>
      <c r="T82" s="3">
        <f t="shared" si="21"/>
        <v>74719949.890000001</v>
      </c>
      <c r="U82" s="3">
        <f t="shared" si="21"/>
        <v>136999081.71999997</v>
      </c>
      <c r="V82" s="3">
        <f t="shared" si="21"/>
        <v>74918061.669999987</v>
      </c>
      <c r="W82" s="3">
        <f t="shared" si="21"/>
        <v>143078032.53</v>
      </c>
      <c r="X82" s="3">
        <f t="shared" si="21"/>
        <v>71550048.36999999</v>
      </c>
      <c r="Y82" s="3">
        <f t="shared" si="21"/>
        <v>179105676.16999999</v>
      </c>
      <c r="Z82" s="3">
        <f t="shared" si="21"/>
        <v>116277638.82999998</v>
      </c>
      <c r="AA82" s="22">
        <f t="shared" si="21"/>
        <v>180677679.08000001</v>
      </c>
      <c r="AB82" s="22">
        <f>AB75+AB81</f>
        <v>43344897.469999999</v>
      </c>
      <c r="AC82" s="22">
        <f t="shared" ref="AC82:AP82" si="22">AC75+AC81</f>
        <v>249815793.58000001</v>
      </c>
      <c r="AD82" s="22">
        <f t="shared" si="22"/>
        <v>119975047.31999999</v>
      </c>
      <c r="AE82" s="3">
        <f t="shared" si="22"/>
        <v>225591888.64999998</v>
      </c>
      <c r="AF82" s="3">
        <f t="shared" si="22"/>
        <v>99495187.609999999</v>
      </c>
      <c r="AG82" s="3">
        <f t="shared" si="22"/>
        <v>86313931.799999982</v>
      </c>
      <c r="AH82" s="3">
        <f t="shared" si="22"/>
        <v>23141374.309999999</v>
      </c>
      <c r="AI82" s="22">
        <f t="shared" si="22"/>
        <v>130196217.90000001</v>
      </c>
      <c r="AJ82" s="22">
        <f t="shared" si="22"/>
        <v>32163242.649999999</v>
      </c>
      <c r="AK82" s="22">
        <f t="shared" si="22"/>
        <v>14429840.109999999</v>
      </c>
      <c r="AL82" s="22">
        <f t="shared" si="22"/>
        <v>0</v>
      </c>
      <c r="AM82" s="22">
        <f t="shared" si="22"/>
        <v>119006996.54000001</v>
      </c>
      <c r="AN82" s="22">
        <f t="shared" si="22"/>
        <v>23391528.850000001</v>
      </c>
      <c r="AO82" s="22">
        <f t="shared" si="22"/>
        <v>8706150.5500000007</v>
      </c>
      <c r="AP82" s="22">
        <f t="shared" si="22"/>
        <v>0</v>
      </c>
      <c r="AQ82" s="36">
        <f>AM82/AI82-1</f>
        <v>-8.5941216576614576E-2</v>
      </c>
      <c r="AR82" s="36">
        <f>AO82/AK82-1</f>
        <v>-0.39665647826779693</v>
      </c>
    </row>
    <row r="83" spans="1:44" x14ac:dyDescent="0.25">
      <c r="A83" s="109" t="s">
        <v>22</v>
      </c>
      <c r="B83" s="13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1:44" x14ac:dyDescent="0.25">
      <c r="A84" s="109" t="s">
        <v>27</v>
      </c>
      <c r="B84" s="132"/>
      <c r="C84" s="4">
        <v>102575991</v>
      </c>
      <c r="D84" s="4">
        <v>63430848.460000001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x14ac:dyDescent="0.25">
      <c r="A85" s="109" t="s">
        <v>26</v>
      </c>
      <c r="B85" s="132"/>
      <c r="C85" s="4">
        <f>C82-C84</f>
        <v>11712510.819999993</v>
      </c>
      <c r="D85" s="4">
        <f>D82-D84</f>
        <v>4577922.2599999979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x14ac:dyDescent="0.25">
      <c r="A86" s="109" t="s">
        <v>40</v>
      </c>
      <c r="B86" s="13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1">
        <v>2369961.35</v>
      </c>
      <c r="AB86" s="21">
        <v>2369961.35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</sheetData>
  <mergeCells count="452"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Q71:AQ72"/>
    <mergeCell ref="AR71:AR72"/>
    <mergeCell ref="A72:B72"/>
    <mergeCell ref="A73:B73"/>
    <mergeCell ref="AP64:AP65"/>
    <mergeCell ref="AQ64:AQ65"/>
    <mergeCell ref="AR64:AR65"/>
    <mergeCell ref="A66:B66"/>
    <mergeCell ref="A67:B67"/>
    <mergeCell ref="A68:B68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F64:F65"/>
    <mergeCell ref="G64:G65"/>
    <mergeCell ref="H64:H65"/>
    <mergeCell ref="I64:I65"/>
    <mergeCell ref="J64:J65"/>
    <mergeCell ref="K64:K65"/>
    <mergeCell ref="A62:B62"/>
    <mergeCell ref="A63:B63"/>
    <mergeCell ref="A64:B65"/>
    <mergeCell ref="C64:C65"/>
    <mergeCell ref="D64:D65"/>
    <mergeCell ref="E64:E65"/>
    <mergeCell ref="AP57:AP58"/>
    <mergeCell ref="AQ57:AQ58"/>
    <mergeCell ref="AR57:AR58"/>
    <mergeCell ref="A59:B59"/>
    <mergeCell ref="A60:B60"/>
    <mergeCell ref="A61:B61"/>
    <mergeCell ref="AJ57:AJ58"/>
    <mergeCell ref="AK57:AK58"/>
    <mergeCell ref="AL57:AL58"/>
    <mergeCell ref="AM57:AM58"/>
    <mergeCell ref="AN57:AN58"/>
    <mergeCell ref="AO57:AO58"/>
    <mergeCell ref="AD57:AD58"/>
    <mergeCell ref="AE57:AE58"/>
    <mergeCell ref="AF57:AF58"/>
    <mergeCell ref="AG57:AG58"/>
    <mergeCell ref="AH57:AH58"/>
    <mergeCell ref="AI57:AI58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A55:B55"/>
    <mergeCell ref="A56:B56"/>
    <mergeCell ref="A57:B58"/>
    <mergeCell ref="C57:C58"/>
    <mergeCell ref="D57:D58"/>
    <mergeCell ref="E57:E58"/>
    <mergeCell ref="Z50:Z51"/>
    <mergeCell ref="AQ50:AQ51"/>
    <mergeCell ref="AR50:AR51"/>
    <mergeCell ref="A52:B52"/>
    <mergeCell ref="A53:B53"/>
    <mergeCell ref="A54:B54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50:B51"/>
    <mergeCell ref="C50:C51"/>
    <mergeCell ref="D50:D51"/>
    <mergeCell ref="E50:E51"/>
    <mergeCell ref="F50:F51"/>
    <mergeCell ref="G50:G51"/>
    <mergeCell ref="AR43:AR44"/>
    <mergeCell ref="A45:B45"/>
    <mergeCell ref="A46:B46"/>
    <mergeCell ref="A47:B47"/>
    <mergeCell ref="A48:B48"/>
    <mergeCell ref="A49:B49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43:B44"/>
    <mergeCell ref="C43:C44"/>
    <mergeCell ref="D43:D44"/>
    <mergeCell ref="E43:E44"/>
    <mergeCell ref="F43:F44"/>
    <mergeCell ref="G43:G44"/>
    <mergeCell ref="AR36:AR37"/>
    <mergeCell ref="A38:B38"/>
    <mergeCell ref="A39:B39"/>
    <mergeCell ref="A40:B40"/>
    <mergeCell ref="A41:B41"/>
    <mergeCell ref="A42:B42"/>
    <mergeCell ref="AL36:AL37"/>
    <mergeCell ref="AM36:AM37"/>
    <mergeCell ref="AN36:AN37"/>
    <mergeCell ref="AO36:AO37"/>
    <mergeCell ref="AP36:AP37"/>
    <mergeCell ref="AQ36:AQ37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B37"/>
    <mergeCell ref="C36:C37"/>
    <mergeCell ref="D36:D37"/>
    <mergeCell ref="E36:E37"/>
    <mergeCell ref="F36:F37"/>
    <mergeCell ref="G36:G37"/>
    <mergeCell ref="AR29:AR30"/>
    <mergeCell ref="A31:B31"/>
    <mergeCell ref="A32:B32"/>
    <mergeCell ref="A33:B33"/>
    <mergeCell ref="A34:B34"/>
    <mergeCell ref="A35:B35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AR22:AR23"/>
    <mergeCell ref="A24:B24"/>
    <mergeCell ref="A25:B25"/>
    <mergeCell ref="A26:B26"/>
    <mergeCell ref="A27:B27"/>
    <mergeCell ref="A28:B28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B23"/>
    <mergeCell ref="C22:C23"/>
    <mergeCell ref="D22:D23"/>
    <mergeCell ref="E22:E23"/>
    <mergeCell ref="F22:F23"/>
    <mergeCell ref="G22:G23"/>
    <mergeCell ref="AR15:AR16"/>
    <mergeCell ref="A17:B17"/>
    <mergeCell ref="A18:B18"/>
    <mergeCell ref="A19:B19"/>
    <mergeCell ref="A20:B20"/>
    <mergeCell ref="A21:B21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15:B16"/>
    <mergeCell ref="C15:C16"/>
    <mergeCell ref="D15:D16"/>
    <mergeCell ref="E15:E16"/>
    <mergeCell ref="F15:F16"/>
    <mergeCell ref="G15:G16"/>
    <mergeCell ref="A11:B11"/>
    <mergeCell ref="A12:B12"/>
    <mergeCell ref="A13:B13"/>
    <mergeCell ref="A14:B14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Y8:Y9"/>
    <mergeCell ref="N8:N9"/>
    <mergeCell ref="O8:O9"/>
    <mergeCell ref="W8:W9"/>
    <mergeCell ref="X8:X9"/>
    <mergeCell ref="P8:P9"/>
    <mergeCell ref="Q8:Q9"/>
    <mergeCell ref="R8:R9"/>
    <mergeCell ref="S8:S9"/>
    <mergeCell ref="AR8:AR9"/>
    <mergeCell ref="A10:B10"/>
    <mergeCell ref="AQ8:AQ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B1:AQ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R6"/>
    <mergeCell ref="Y5:Z6"/>
    <mergeCell ref="AA5:AB6"/>
    <mergeCell ref="AC5:AD6"/>
    <mergeCell ref="AE5:AH6"/>
    <mergeCell ref="AI5:AL6"/>
    <mergeCell ref="AM5:AP6"/>
    <mergeCell ref="S5:T6"/>
    <mergeCell ref="U5:V6"/>
    <mergeCell ref="W5:X6"/>
  </mergeCells>
  <pageMargins left="0.7" right="0.7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Лист3</vt:lpstr>
      <vt:lpstr>Лист4</vt:lpstr>
      <vt:lpstr>Лист5</vt:lpstr>
      <vt:lpstr>Лист6</vt:lpstr>
      <vt:lpstr>Лист7</vt:lpstr>
      <vt:lpstr>Лист8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декабрь!Заголовки_для_печати</vt:lpstr>
      <vt:lpstr>июль!Заголовки_для_печати</vt:lpstr>
      <vt:lpstr>ноябрь!Заголовки_для_печати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Васина</dc:creator>
  <cp:lastModifiedBy>Казинская Елена Александровна</cp:lastModifiedBy>
  <cp:lastPrinted>2020-02-18T12:02:40Z</cp:lastPrinted>
  <dcterms:created xsi:type="dcterms:W3CDTF">2012-01-13T10:18:29Z</dcterms:created>
  <dcterms:modified xsi:type="dcterms:W3CDTF">2022-04-18T13:15:32Z</dcterms:modified>
</cp:coreProperties>
</file>